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180" windowHeight="8115" tabRatio="722" activeTab="2"/>
  </bookViews>
  <sheets>
    <sheet name="fonds one UN" sheetId="1" r:id="rId1"/>
    <sheet name="DEPENSES FONDS DOCO 11890" sheetId="2" r:id="rId2"/>
    <sheet name="fonds doco 54607" sheetId="3" r:id="rId3"/>
  </sheets>
  <definedNames/>
  <calcPr fullCalcOnLoad="1"/>
</workbook>
</file>

<file path=xl/comments2.xml><?xml version="1.0" encoding="utf-8"?>
<comments xmlns="http://schemas.openxmlformats.org/spreadsheetml/2006/main">
  <authors>
    <author>Latufa Soilihi</author>
  </authors>
  <commentList>
    <comment ref="C10" authorId="0">
      <text>
        <r>
          <rPr>
            <b/>
            <sz val="9"/>
            <rFont val="Tahoma"/>
            <family val="2"/>
          </rPr>
          <t>Latufa Soilihi:</t>
        </r>
        <r>
          <rPr>
            <sz val="9"/>
            <rFont val="Tahoma"/>
            <family val="2"/>
          </rPr>
          <t xml:space="preserve">
revision budgetaire -5000 dollars pour renflouer appui au fonctionnement du BCR</t>
        </r>
      </text>
    </comment>
    <comment ref="C26" authorId="0">
      <text>
        <r>
          <rPr>
            <b/>
            <sz val="9"/>
            <rFont val="Tahoma"/>
            <family val="2"/>
          </rPr>
          <t>Latufa Soilihi:</t>
        </r>
        <r>
          <rPr>
            <sz val="9"/>
            <rFont val="Tahoma"/>
            <family val="2"/>
          </rPr>
          <t xml:space="preserve">
REVISION BUDGETAIRE +5000 DOLLARS POUR RENFLOUER </t>
        </r>
      </text>
    </comment>
  </commentList>
</comments>
</file>

<file path=xl/comments3.xml><?xml version="1.0" encoding="utf-8"?>
<comments xmlns="http://schemas.openxmlformats.org/spreadsheetml/2006/main">
  <authors>
    <author>Latufa Soilihi</author>
  </authors>
  <commentList>
    <comment ref="C18" authorId="0">
      <text>
        <r>
          <rPr>
            <b/>
            <sz val="9"/>
            <rFont val="Tahoma"/>
            <family val="2"/>
          </rPr>
          <t>Latufa Soilihi:</t>
        </r>
        <r>
          <rPr>
            <sz val="9"/>
            <rFont val="Tahoma"/>
            <family val="2"/>
          </rPr>
          <t xml:space="preserve">
à suivre car ces couts sont inclus dans la previosn </t>
        </r>
      </text>
    </comment>
    <comment ref="C24" authorId="0">
      <text>
        <r>
          <rPr>
            <b/>
            <sz val="9"/>
            <rFont val="Tahoma"/>
            <family val="2"/>
          </rPr>
          <t>Latufa Soilihi:</t>
        </r>
        <r>
          <rPr>
            <sz val="9"/>
            <rFont val="Tahoma"/>
            <family val="2"/>
          </rPr>
          <t xml:space="preserve">
à verifier le taux appliqué lors de la finalisation du paiement</t>
        </r>
      </text>
    </comment>
    <comment ref="C22" authorId="0">
      <text>
        <r>
          <rPr>
            <b/>
            <sz val="9"/>
            <rFont val="Tahoma"/>
            <family val="2"/>
          </rPr>
          <t>Latufa Soilihi:</t>
        </r>
        <r>
          <rPr>
            <sz val="9"/>
            <rFont val="Tahoma"/>
            <family val="2"/>
          </rPr>
          <t xml:space="preserve">
Difference entre le montant en KMF et le USD</t>
        </r>
      </text>
    </comment>
  </commentList>
</comments>
</file>

<file path=xl/sharedStrings.xml><?xml version="1.0" encoding="utf-8"?>
<sst xmlns="http://schemas.openxmlformats.org/spreadsheetml/2006/main" count="270" uniqueCount="228">
  <si>
    <t>LC Amount</t>
  </si>
  <si>
    <t>USD Amount</t>
  </si>
  <si>
    <t>Exchange Rate</t>
  </si>
  <si>
    <t>Voucher</t>
  </si>
  <si>
    <t>Project</t>
  </si>
  <si>
    <t>output</t>
  </si>
  <si>
    <t>Budget  dollars</t>
  </si>
  <si>
    <t>Dates</t>
  </si>
  <si>
    <t>Beneficiaires</t>
  </si>
  <si>
    <t>Description des Dépenses</t>
  </si>
  <si>
    <t>Total Dépenses</t>
  </si>
  <si>
    <t>Solde</t>
  </si>
  <si>
    <t>Suivi de la situation des dépenses Fonds EFW ONE UN : 30.000</t>
  </si>
  <si>
    <t>Observations</t>
  </si>
  <si>
    <t>Lyne Godmaire</t>
  </si>
  <si>
    <t>salaires Lyne</t>
  </si>
  <si>
    <t>ces paiements sont faits à l'exterieur</t>
  </si>
  <si>
    <t>SECURICOM</t>
  </si>
  <si>
    <t>SATGURU TRAVEL &amp; TOURS SERVICES</t>
  </si>
  <si>
    <t>ARCADIA TRAVEL COMORES</t>
  </si>
  <si>
    <t>GUARD LYNE JANVIER 2014</t>
  </si>
  <si>
    <t>GUARD LYNE FEVRIER 2014</t>
  </si>
  <si>
    <t>00022541</t>
  </si>
  <si>
    <t>00022645</t>
  </si>
  <si>
    <t>00022872</t>
  </si>
  <si>
    <t>00022873</t>
  </si>
  <si>
    <t>Air Tickets - International HaH/NAIB/HAH</t>
  </si>
  <si>
    <t>billet Mission SUN AND RECAH</t>
  </si>
  <si>
    <t>22952</t>
  </si>
  <si>
    <t>22927</t>
  </si>
  <si>
    <t>joyce</t>
  </si>
  <si>
    <t>DSA sun reach</t>
  </si>
  <si>
    <t>22963</t>
  </si>
  <si>
    <t>TANIA</t>
  </si>
  <si>
    <t>ATELIER SUN AND REACH</t>
  </si>
  <si>
    <t>Commissariat au plan</t>
  </si>
  <si>
    <t>22969</t>
  </si>
  <si>
    <t>pénalités billets joyce et Tania</t>
  </si>
  <si>
    <t>Dépenses</t>
  </si>
  <si>
    <t>satguru</t>
  </si>
  <si>
    <t>26/05/014</t>
  </si>
  <si>
    <t>Transfert effectués au CGP</t>
  </si>
  <si>
    <t>23222</t>
  </si>
  <si>
    <t>Paiement en faveur de Synergie International pour l'élaboration de la base des données d'Assistance au développement</t>
  </si>
  <si>
    <t>23092</t>
  </si>
  <si>
    <t>rembourssement du Cost Sharing pour le paiement du consultant chargé d'elaborer l'UNDAF</t>
  </si>
  <si>
    <t>Journal APG 5435433</t>
  </si>
  <si>
    <t>RM</t>
  </si>
  <si>
    <t>à suivre paiement et mis  à jour plan de travail</t>
  </si>
  <si>
    <t>2307</t>
  </si>
  <si>
    <t>arcadia travel</t>
  </si>
  <si>
    <t>contrat avec Synergie pour l'elaboration de la base des données d'Assistance au développement (DAD)/ contrat 2014 synergy DAD</t>
  </si>
  <si>
    <t>Synergy international system</t>
  </si>
  <si>
    <t>Total</t>
  </si>
  <si>
    <t>solde</t>
  </si>
  <si>
    <t>charges GMC remuneration</t>
  </si>
  <si>
    <t>charges GMC Procuration</t>
  </si>
  <si>
    <t>charges GMC COMM</t>
  </si>
  <si>
    <t>Charge GMC ICT</t>
  </si>
  <si>
    <t>les frais de gestion s'élevent à 23.217 dollars</t>
  </si>
  <si>
    <t>NB: le salaire de Lynne est passé de 21.000 USD à 32.506  dollars mais ce sont des paiements operés directement par le siège</t>
  </si>
  <si>
    <t>Affectation de la nouvelle tranche d’allocation des 50.000 USD des fonds DOCO</t>
  </si>
  <si>
    <t>Objet du financement</t>
  </si>
  <si>
    <t>Cost-sharing pour le financement de la célébration de journées ciblées</t>
  </si>
  <si>
    <t>Cost-sharing pour appuyer les activités de mise en place du parlement de jeunes suite à la requête du président de l’Assemblée</t>
  </si>
  <si>
    <t>Organisation des réunions du FPaD</t>
  </si>
  <si>
    <t>Financement de voyages de mobilisation de ressources du CR en Afrique du sud</t>
  </si>
  <si>
    <t>Formation SNU /Gouvernement</t>
  </si>
  <si>
    <t>Tenue de l’atelier de formation</t>
  </si>
  <si>
    <t>Complément dépassement négatif à la première  allocation de 50.000 Dollars</t>
  </si>
  <si>
    <t>Balance du solde négatif sur la première allocation de 50.000,</t>
  </si>
  <si>
    <t>SOLDE</t>
  </si>
  <si>
    <t>Béneficiaires</t>
  </si>
  <si>
    <t>Montant (US$) programmé</t>
  </si>
  <si>
    <t>Montant dépensé</t>
  </si>
  <si>
    <t>References voucher</t>
  </si>
  <si>
    <t xml:space="preserve">Seed money pour permettre au futur Chargé de la communication de mobiliser l’équipe pays autour de la célébration des journées des NU dans le cadre de la communication commune. </t>
  </si>
  <si>
    <t>Une requête est reçue du Président de l’Assemblée Nationale sur le sujet et le SNU a déjà donné son accord de principe pour appuyer. C</t>
  </si>
  <si>
    <t>Le CR est le Président du FPaD et le BCR en assure le Secrétariat technique. En attendant que des modalités de contribution de ses membres soient opérationnelles,</t>
  </si>
  <si>
    <t xml:space="preserve">L’objectif de l’atelier est de s’assurer de la prise en compte des tous les commentaires reçus des parties prenantes et concernées par l’UNDAF incluant les agences non résidentes </t>
  </si>
  <si>
    <t>gl ge 0005632124</t>
  </si>
  <si>
    <t>Description</t>
  </si>
  <si>
    <t>Contribution du BCR pour la formation HACT et la micro-évaluation des partenaires nationaux.</t>
  </si>
  <si>
    <t>Paiement Cartes</t>
  </si>
  <si>
    <t>Paiement factures musiciennes et association</t>
  </si>
  <si>
    <t>paiement facture sono</t>
  </si>
  <si>
    <t>Impredoc</t>
  </si>
  <si>
    <t>project</t>
  </si>
  <si>
    <t>Output</t>
  </si>
  <si>
    <t>Fund</t>
  </si>
  <si>
    <t>v23860</t>
  </si>
  <si>
    <t>payé</t>
  </si>
  <si>
    <t>Paiement Retaj cocktail de la celebration de la journée</t>
  </si>
  <si>
    <t>paiement reatj complement</t>
  </si>
  <si>
    <t>v23944</t>
  </si>
  <si>
    <t>said toihire</t>
  </si>
  <si>
    <t>v23912</t>
  </si>
  <si>
    <t>musicom</t>
  </si>
  <si>
    <t>v23929</t>
  </si>
  <si>
    <t>Budget</t>
  </si>
  <si>
    <t>dépenses</t>
  </si>
  <si>
    <t>Affectation des dépenses sur le reliquat du projet 54608 converti au projet 54607</t>
  </si>
  <si>
    <t>Facture Maalesh Concert</t>
  </si>
  <si>
    <t>07/10/014</t>
  </si>
  <si>
    <t>airaustralair</t>
  </si>
  <si>
    <t>billet en faveur de nawal</t>
  </si>
  <si>
    <t>v23838</t>
  </si>
  <si>
    <t>Retaj</t>
  </si>
  <si>
    <t>cocktail journée des NU</t>
  </si>
  <si>
    <t>V23943</t>
  </si>
  <si>
    <t>Achat Eau minerale pour FPAD du 27 /10 et 03/11</t>
  </si>
  <si>
    <t>malesh</t>
  </si>
  <si>
    <t>v23960</t>
  </si>
  <si>
    <t>sawa prix</t>
  </si>
  <si>
    <t>v23967</t>
  </si>
  <si>
    <t>atelier UNDAF/ facture Retaj</t>
  </si>
  <si>
    <t>atelier UNDAF/ reproduction cartes</t>
  </si>
  <si>
    <t>v23938</t>
  </si>
  <si>
    <t>v23939</t>
  </si>
  <si>
    <t>paiement DSA en faveur de RM: mission mobilisation de ressources Maurice</t>
  </si>
  <si>
    <t>Paiement du cout du billet d'avion pour la mission de RM à Maurice</t>
  </si>
  <si>
    <t>V24059</t>
  </si>
  <si>
    <t>Cout proforma salaire Analyste à la coordination 2 mois</t>
  </si>
  <si>
    <t>Total Prévision</t>
  </si>
  <si>
    <t>Cout proforma salaire  chargé de communication à la coordination 2 mois</t>
  </si>
  <si>
    <t>Total previsions</t>
  </si>
  <si>
    <t>solde apres deduction prevision</t>
  </si>
  <si>
    <t>Activités programmées</t>
  </si>
  <si>
    <t>Solde sur la première activités</t>
  </si>
  <si>
    <t>1.Célébration des journées des Nations Unies</t>
  </si>
  <si>
    <t>2.Appui à la mise en place du parlement des jeunes</t>
  </si>
  <si>
    <t>solde sur la deuxième activités</t>
  </si>
  <si>
    <t>3.Appui au FPaD</t>
  </si>
  <si>
    <t>solde sur la troisième activité</t>
  </si>
  <si>
    <t>4.Appui au fonctionnement du BCR</t>
  </si>
  <si>
    <t>solde sur la quatrième activités</t>
  </si>
  <si>
    <t>5.HACT</t>
  </si>
  <si>
    <t>solde activité 5</t>
  </si>
  <si>
    <t>Budget alloué</t>
  </si>
  <si>
    <t>La Gazette des Comores</t>
  </si>
  <si>
    <t>deuxième publication poste analyste à la coordination</t>
  </si>
  <si>
    <t>deuxième publication poste chargé de communication</t>
  </si>
  <si>
    <t>v24128</t>
  </si>
  <si>
    <t>v24129</t>
  </si>
  <si>
    <t>20/11/014</t>
  </si>
  <si>
    <t>Ernesto</t>
  </si>
  <si>
    <t>paiement 1ere tranche</t>
  </si>
  <si>
    <t>v24159</t>
  </si>
  <si>
    <t>v24134</t>
  </si>
  <si>
    <t xml:space="preserve">paiement billet mission CR en Italie sur </t>
  </si>
  <si>
    <t>paiement billet mission CR en Italie</t>
  </si>
  <si>
    <t>v24055</t>
  </si>
  <si>
    <t xml:space="preserve">prevision achat cartes de visites </t>
  </si>
  <si>
    <t>prevision achat cartes telephoniques</t>
  </si>
  <si>
    <t>achat eau minerale pour les FPAD</t>
  </si>
  <si>
    <t>v24194</t>
  </si>
  <si>
    <t>comores telecom</t>
  </si>
  <si>
    <t>paiement rafraichement signature UNDAF</t>
  </si>
  <si>
    <t>Mackom</t>
  </si>
  <si>
    <t>v24185</t>
  </si>
  <si>
    <t>Achat ordinateur chargé  communication</t>
  </si>
  <si>
    <t>v24186</t>
  </si>
  <si>
    <t>Achat logiciel  chargé de comm "mach char com PO2893 pour le staff de la coordination</t>
  </si>
  <si>
    <t xml:space="preserve"> dépenses engagées achat des equipements informatiques pour analysre à la coordination</t>
  </si>
  <si>
    <t>po 2872</t>
  </si>
  <si>
    <t>rémuneration CI  Strategie mobilisation de ressources</t>
  </si>
  <si>
    <t>p o2885/86/87</t>
  </si>
  <si>
    <t>Paiement du cout du billet pour la mission de RM à Maurice pour mobilisation des ressources</t>
  </si>
  <si>
    <t>up way</t>
  </si>
  <si>
    <t>v24204</t>
  </si>
  <si>
    <t>traduction doc Ebola</t>
  </si>
  <si>
    <t>impredoc  à suivre</t>
  </si>
  <si>
    <t xml:space="preserve">retaj à verifier </t>
  </si>
  <si>
    <t>v24245</t>
  </si>
  <si>
    <t>DSA mission RM Zanzibar</t>
  </si>
  <si>
    <t>Achat billet mission RM Zanzibar</t>
  </si>
  <si>
    <t>Total troisième activité</t>
  </si>
  <si>
    <t>total 1ere activité</t>
  </si>
  <si>
    <t>total 3 eme activité</t>
  </si>
  <si>
    <t>Total quatrième activité</t>
  </si>
  <si>
    <t>09/12/014</t>
  </si>
  <si>
    <t>Paiement rafraichissement céremonie de signature UNDAF</t>
  </si>
  <si>
    <t>rETAJ</t>
  </si>
  <si>
    <t>paiement F10  mission du RR à Rome pour Global meeting et réunions avec les bailleurs ainsi que sur IUCN</t>
  </si>
  <si>
    <t>à suivre</t>
  </si>
  <si>
    <t>Impression carte de visites coordination</t>
  </si>
  <si>
    <t>V24245</t>
  </si>
  <si>
    <t>v24282</t>
  </si>
  <si>
    <t>Peter Robertson</t>
  </si>
  <si>
    <t>Achat videoprojecteur Coordination</t>
  </si>
  <si>
    <t>v24325</t>
  </si>
  <si>
    <t>LDLC.com</t>
  </si>
  <si>
    <t>Remaining budget USD ($)</t>
  </si>
  <si>
    <t>Spendind description</t>
  </si>
  <si>
    <t>USD Amounts ($)</t>
  </si>
  <si>
    <t>Beneficiary</t>
  </si>
  <si>
    <t>Observation</t>
  </si>
  <si>
    <t>Imprimante couleur coordination</t>
  </si>
  <si>
    <t>Encres imprimantes</t>
  </si>
  <si>
    <t>communication</t>
  </si>
  <si>
    <t>Atelier CGPLAN</t>
  </si>
  <si>
    <t>Ordinateur portable ABI</t>
  </si>
  <si>
    <t>Commande en cours</t>
  </si>
  <si>
    <t>édition et impression UNDAF</t>
  </si>
  <si>
    <t>17/12/014</t>
  </si>
  <si>
    <t>travel claim Riad</t>
  </si>
  <si>
    <t>achat onduleur et fournitures de bureau</t>
  </si>
  <si>
    <t>PO hotel Mohelier Atelier CGP</t>
  </si>
  <si>
    <t>PO2913</t>
  </si>
  <si>
    <t>LES ABOUS</t>
  </si>
  <si>
    <t>MAPONJEE</t>
  </si>
  <si>
    <t>PO hotel anjouan Atelier CGP</t>
  </si>
  <si>
    <t>po2914</t>
  </si>
  <si>
    <t>PO hotel Ngazidja Atelier CGP</t>
  </si>
  <si>
    <t>po2915</t>
  </si>
  <si>
    <t>kit reproduction communication</t>
  </si>
  <si>
    <t>po2920</t>
  </si>
  <si>
    <t>impredoc</t>
  </si>
  <si>
    <t>kit reprocuction UNDAF</t>
  </si>
  <si>
    <t>po2921</t>
  </si>
  <si>
    <t>advising IT</t>
  </si>
  <si>
    <t>Achat encres et imprimantes BCR</t>
  </si>
  <si>
    <t>PO2922</t>
  </si>
  <si>
    <t>Achat ordinateurs portables BCR</t>
  </si>
  <si>
    <t>PO2923</t>
  </si>
  <si>
    <t>GL GE</t>
  </si>
  <si>
    <t xml:space="preserve">Regularisation deficit cost sharing </t>
  </si>
  <si>
    <t xml:space="preserve">regularisation salaire staff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</si>
</sst>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(* #,##0.0_);_(* \(#,##0.0\);_(* &quot;-&quot;??_);_(@_)"/>
    <numFmt numFmtId="174" formatCode="_(* #,##0_);_(* \(#,##0\);_(* &quot;-&quot;??_);_(@_)"/>
    <numFmt numFmtId="175" formatCode="_-* #,##0.0\ _€_-;\-* #,##0.0\ _€_-;_-* &quot;-&quot;?\ _€_-;_-@_-"/>
    <numFmt numFmtId="176" formatCode="_-* #,##0.0000\ _€_-;\-* #,##0.0000\ _€_-;_-* &quot;-&quot;????\ _€_-;_-@_-"/>
    <numFmt numFmtId="177" formatCode="_-* #,##0.000\ _€_-;\-* #,##0.000\ _€_-;_-* &quot;-&quot;???\ _€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00"/>
    <numFmt numFmtId="182" formatCode="0.00000"/>
    <numFmt numFmtId="183" formatCode="0.000000"/>
    <numFmt numFmtId="184" formatCode="0.0000000"/>
    <numFmt numFmtId="185" formatCode="0.0"/>
  </numFmts>
  <fonts count="75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1"/>
      <name val="Arial Unicode MS"/>
      <family val="2"/>
    </font>
    <font>
      <sz val="11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Unicode M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Unicode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 Unicode MS"/>
      <family val="2"/>
    </font>
    <font>
      <b/>
      <sz val="11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57"/>
      <name val="Arial Unicode MS"/>
      <family val="2"/>
    </font>
    <font>
      <sz val="10"/>
      <color indexed="8"/>
      <name val="Arial Unicode MS"/>
      <family val="2"/>
    </font>
    <font>
      <sz val="10"/>
      <color indexed="49"/>
      <name val="Arial Unicode MS"/>
      <family val="2"/>
    </font>
    <font>
      <b/>
      <sz val="12"/>
      <color indexed="8"/>
      <name val="Arial Unicode MS"/>
      <family val="2"/>
    </font>
    <font>
      <b/>
      <sz val="11"/>
      <color indexed="10"/>
      <name val="Calibri"/>
      <family val="2"/>
    </font>
    <font>
      <sz val="10"/>
      <color indexed="10"/>
      <name val="Arial Unicode MS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 Unicode MS"/>
      <family val="2"/>
    </font>
    <font>
      <b/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6"/>
      <name val="Arial Unicode MS"/>
      <family val="2"/>
    </font>
    <font>
      <sz val="10"/>
      <color theme="1"/>
      <name val="Arial Unicode MS"/>
      <family val="2"/>
    </font>
    <font>
      <sz val="10"/>
      <color theme="8"/>
      <name val="Arial Unicode MS"/>
      <family val="2"/>
    </font>
    <font>
      <b/>
      <sz val="12"/>
      <color theme="1"/>
      <name val="Arial Unicode MS"/>
      <family val="2"/>
    </font>
    <font>
      <b/>
      <sz val="11"/>
      <color rgb="FFFF0000"/>
      <name val="Calibri"/>
      <family val="2"/>
    </font>
    <font>
      <sz val="10"/>
      <color rgb="FFFF0000"/>
      <name val="Arial Unicode MS"/>
      <family val="2"/>
    </font>
    <font>
      <b/>
      <sz val="11"/>
      <color theme="6"/>
      <name val="Calibri"/>
      <family val="2"/>
    </font>
    <font>
      <sz val="11"/>
      <color theme="6"/>
      <name val="Calibri"/>
      <family val="2"/>
    </font>
    <font>
      <sz val="11"/>
      <color theme="5"/>
      <name val="Calibri"/>
      <family val="2"/>
    </font>
    <font>
      <sz val="10"/>
      <color theme="5"/>
      <name val="Arial Unicode MS"/>
      <family val="2"/>
    </font>
    <font>
      <sz val="12"/>
      <color theme="1"/>
      <name val="Calibri"/>
      <family val="2"/>
    </font>
    <font>
      <sz val="11"/>
      <color theme="4"/>
      <name val="Calibri"/>
      <family val="2"/>
    </font>
    <font>
      <b/>
      <sz val="8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009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4" fontId="1" fillId="0" borderId="0" xfId="42" applyNumberFormat="1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174" fontId="3" fillId="0" borderId="10" xfId="42" applyNumberFormat="1" applyFont="1" applyBorder="1" applyAlignment="1">
      <alignment horizontal="center"/>
    </xf>
    <xf numFmtId="0" fontId="59" fillId="20" borderId="10" xfId="0" applyFont="1" applyFill="1" applyBorder="1" applyAlignment="1">
      <alignment/>
    </xf>
    <xf numFmtId="174" fontId="59" fillId="20" borderId="10" xfId="42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74" fontId="1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60" fillId="33" borderId="10" xfId="0" applyNumberFormat="1" applyFont="1" applyFill="1" applyBorder="1" applyAlignment="1">
      <alignment/>
    </xf>
    <xf numFmtId="49" fontId="60" fillId="33" borderId="10" xfId="0" applyNumberFormat="1" applyFont="1" applyFill="1" applyBorder="1" applyAlignment="1">
      <alignment wrapText="1"/>
    </xf>
    <xf numFmtId="49" fontId="60" fillId="34" borderId="10" xfId="0" applyNumberFormat="1" applyFont="1" applyFill="1" applyBorder="1" applyAlignment="1">
      <alignment/>
    </xf>
    <xf numFmtId="0" fontId="60" fillId="34" borderId="10" xfId="0" applyFont="1" applyFill="1" applyBorder="1" applyAlignment="1">
      <alignment/>
    </xf>
    <xf numFmtId="174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4" fontId="63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2" fontId="64" fillId="0" borderId="0" xfId="0" applyNumberFormat="1" applyFont="1" applyAlignment="1">
      <alignment/>
    </xf>
    <xf numFmtId="43" fontId="64" fillId="0" borderId="0" xfId="0" applyNumberFormat="1" applyFont="1" applyAlignment="1">
      <alignment/>
    </xf>
    <xf numFmtId="14" fontId="65" fillId="0" borderId="10" xfId="0" applyNumberFormat="1" applyFont="1" applyBorder="1" applyAlignment="1">
      <alignment/>
    </xf>
    <xf numFmtId="173" fontId="65" fillId="0" borderId="10" xfId="42" applyNumberFormat="1" applyFont="1" applyBorder="1" applyAlignment="1">
      <alignment/>
    </xf>
    <xf numFmtId="174" fontId="65" fillId="0" borderId="10" xfId="42" applyNumberFormat="1" applyFont="1" applyBorder="1" applyAlignment="1">
      <alignment/>
    </xf>
    <xf numFmtId="172" fontId="65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wrapText="1"/>
    </xf>
    <xf numFmtId="49" fontId="65" fillId="0" borderId="10" xfId="0" applyNumberFormat="1" applyFont="1" applyBorder="1" applyAlignment="1">
      <alignment/>
    </xf>
    <xf numFmtId="14" fontId="61" fillId="0" borderId="10" xfId="0" applyNumberFormat="1" applyFont="1" applyBorder="1" applyAlignment="1">
      <alignment/>
    </xf>
    <xf numFmtId="173" fontId="61" fillId="0" borderId="10" xfId="42" applyNumberFormat="1" applyFont="1" applyBorder="1" applyAlignment="1">
      <alignment/>
    </xf>
    <xf numFmtId="174" fontId="61" fillId="0" borderId="10" xfId="42" applyNumberFormat="1" applyFont="1" applyBorder="1" applyAlignment="1">
      <alignment/>
    </xf>
    <xf numFmtId="172" fontId="61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 wrapText="1"/>
    </xf>
    <xf numFmtId="49" fontId="63" fillId="0" borderId="10" xfId="0" applyNumberFormat="1" applyFont="1" applyBorder="1" applyAlignment="1">
      <alignment wrapText="1"/>
    </xf>
    <xf numFmtId="49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174" fontId="63" fillId="0" borderId="10" xfId="42" applyNumberFormat="1" applyFont="1" applyBorder="1" applyAlignment="1">
      <alignment/>
    </xf>
    <xf numFmtId="172" fontId="63" fillId="0" borderId="10" xfId="0" applyNumberFormat="1" applyFont="1" applyBorder="1" applyAlignment="1">
      <alignment/>
    </xf>
    <xf numFmtId="14" fontId="63" fillId="0" borderId="10" xfId="0" applyNumberFormat="1" applyFont="1" applyBorder="1" applyAlignment="1">
      <alignment/>
    </xf>
    <xf numFmtId="173" fontId="63" fillId="0" borderId="10" xfId="42" applyNumberFormat="1" applyFont="1" applyBorder="1" applyAlignment="1">
      <alignment/>
    </xf>
    <xf numFmtId="49" fontId="61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wrapText="1"/>
    </xf>
    <xf numFmtId="2" fontId="63" fillId="0" borderId="10" xfId="0" applyNumberFormat="1" applyFont="1" applyBorder="1" applyAlignment="1">
      <alignment/>
    </xf>
    <xf numFmtId="14" fontId="63" fillId="0" borderId="11" xfId="0" applyNumberFormat="1" applyFont="1" applyBorder="1" applyAlignment="1">
      <alignment/>
    </xf>
    <xf numFmtId="173" fontId="63" fillId="0" borderId="11" xfId="42" applyNumberFormat="1" applyFont="1" applyBorder="1" applyAlignment="1">
      <alignment/>
    </xf>
    <xf numFmtId="172" fontId="63" fillId="0" borderId="11" xfId="0" applyNumberFormat="1" applyFont="1" applyBorder="1" applyAlignment="1">
      <alignment/>
    </xf>
    <xf numFmtId="49" fontId="63" fillId="0" borderId="11" xfId="0" applyNumberFormat="1" applyFont="1" applyBorder="1" applyAlignment="1">
      <alignment wrapText="1"/>
    </xf>
    <xf numFmtId="49" fontId="63" fillId="0" borderId="11" xfId="0" applyNumberFormat="1" applyFont="1" applyBorder="1" applyAlignment="1">
      <alignment/>
    </xf>
    <xf numFmtId="49" fontId="61" fillId="0" borderId="10" xfId="0" applyNumberFormat="1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174" fontId="63" fillId="0" borderId="0" xfId="42" applyNumberFormat="1" applyFont="1" applyAlignment="1">
      <alignment/>
    </xf>
    <xf numFmtId="43" fontId="63" fillId="0" borderId="0" xfId="0" applyNumberFormat="1" applyFont="1" applyAlignment="1">
      <alignment/>
    </xf>
    <xf numFmtId="0" fontId="61" fillId="0" borderId="0" xfId="0" applyFont="1" applyAlignment="1">
      <alignment/>
    </xf>
    <xf numFmtId="174" fontId="61" fillId="0" borderId="0" xfId="42" applyNumberFormat="1" applyFont="1" applyAlignment="1">
      <alignment/>
    </xf>
    <xf numFmtId="2" fontId="61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74" fontId="5" fillId="0" borderId="10" xfId="42" applyNumberFormat="1" applyFont="1" applyBorder="1" applyAlignment="1">
      <alignment vertical="center" wrapText="1"/>
    </xf>
    <xf numFmtId="174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vertical="center" wrapText="1"/>
    </xf>
    <xf numFmtId="174" fontId="5" fillId="0" borderId="14" xfId="42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22" borderId="0" xfId="0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4" fontId="6" fillId="0" borderId="0" xfId="42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174" fontId="58" fillId="0" borderId="0" xfId="42" applyNumberFormat="1" applyFont="1" applyBorder="1" applyAlignment="1">
      <alignment/>
    </xf>
    <xf numFmtId="0" fontId="66" fillId="0" borderId="0" xfId="0" applyFont="1" applyBorder="1" applyAlignment="1">
      <alignment/>
    </xf>
    <xf numFmtId="174" fontId="6" fillId="0" borderId="0" xfId="42" applyNumberFormat="1" applyFont="1" applyBorder="1" applyAlignment="1">
      <alignment/>
    </xf>
    <xf numFmtId="174" fontId="6" fillId="0" borderId="0" xfId="0" applyNumberFormat="1" applyFont="1" applyAlignment="1">
      <alignment horizontal="center"/>
    </xf>
    <xf numFmtId="174" fontId="6" fillId="22" borderId="0" xfId="42" applyNumberFormat="1" applyFont="1" applyFill="1" applyBorder="1" applyAlignment="1">
      <alignment/>
    </xf>
    <xf numFmtId="0" fontId="6" fillId="36" borderId="0" xfId="0" applyFont="1" applyFill="1" applyBorder="1" applyAlignment="1">
      <alignment wrapText="1"/>
    </xf>
    <xf numFmtId="174" fontId="6" fillId="36" borderId="0" xfId="42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0" borderId="14" xfId="0" applyBorder="1" applyAlignment="1">
      <alignment/>
    </xf>
    <xf numFmtId="174" fontId="5" fillId="0" borderId="15" xfId="42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22" borderId="10" xfId="0" applyFont="1" applyFill="1" applyBorder="1" applyAlignment="1">
      <alignment vertical="center" wrapText="1"/>
    </xf>
    <xf numFmtId="174" fontId="5" fillId="22" borderId="10" xfId="42" applyNumberFormat="1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0" fontId="5" fillId="22" borderId="14" xfId="0" applyFont="1" applyFill="1" applyBorder="1" applyAlignment="1">
      <alignment horizontal="center" vertical="center" wrapText="1"/>
    </xf>
    <xf numFmtId="174" fontId="57" fillId="22" borderId="10" xfId="42" applyNumberFormat="1" applyFont="1" applyFill="1" applyBorder="1" applyAlignment="1">
      <alignment vertical="center" wrapText="1"/>
    </xf>
    <xf numFmtId="0" fontId="63" fillId="22" borderId="10" xfId="0" applyFont="1" applyFill="1" applyBorder="1" applyAlignment="1">
      <alignment/>
    </xf>
    <xf numFmtId="0" fontId="40" fillId="22" borderId="10" xfId="0" applyFont="1" applyFill="1" applyBorder="1" applyAlignment="1">
      <alignment vertical="center" wrapText="1"/>
    </xf>
    <xf numFmtId="174" fontId="5" fillId="0" borderId="11" xfId="42" applyNumberFormat="1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1" fontId="0" fillId="0" borderId="15" xfId="42" applyFont="1" applyBorder="1" applyAlignment="1">
      <alignment wrapText="1"/>
    </xf>
    <xf numFmtId="0" fontId="0" fillId="0" borderId="15" xfId="0" applyBorder="1" applyAlignment="1">
      <alignment/>
    </xf>
    <xf numFmtId="171" fontId="0" fillId="0" borderId="15" xfId="42" applyFont="1" applyBorder="1" applyAlignment="1">
      <alignment/>
    </xf>
    <xf numFmtId="174" fontId="6" fillId="22" borderId="10" xfId="42" applyNumberFormat="1" applyFont="1" applyFill="1" applyBorder="1" applyAlignment="1">
      <alignment vertical="center" wrapText="1"/>
    </xf>
    <xf numFmtId="0" fontId="1" fillId="22" borderId="10" xfId="0" applyFont="1" applyFill="1" applyBorder="1" applyAlignment="1">
      <alignment/>
    </xf>
    <xf numFmtId="171" fontId="1" fillId="22" borderId="10" xfId="42" applyFont="1" applyFill="1" applyBorder="1" applyAlignment="1">
      <alignment/>
    </xf>
    <xf numFmtId="0" fontId="6" fillId="22" borderId="10" xfId="0" applyFont="1" applyFill="1" applyBorder="1" applyAlignment="1">
      <alignment vertical="center" wrapText="1"/>
    </xf>
    <xf numFmtId="174" fontId="58" fillId="0" borderId="11" xfId="42" applyNumberFormat="1" applyFont="1" applyBorder="1" applyAlignment="1">
      <alignment vertical="center" wrapText="1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/>
    </xf>
    <xf numFmtId="0" fontId="58" fillId="0" borderId="11" xfId="0" applyFont="1" applyBorder="1" applyAlignment="1">
      <alignment vertical="center" wrapText="1"/>
    </xf>
    <xf numFmtId="181" fontId="6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171" fontId="5" fillId="0" borderId="10" xfId="42" applyFont="1" applyFill="1" applyBorder="1" applyAlignment="1">
      <alignment horizontal="center" vertical="center" wrapText="1"/>
    </xf>
    <xf numFmtId="171" fontId="69" fillId="0" borderId="10" xfId="42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174" fontId="69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71" fontId="69" fillId="0" borderId="10" xfId="42" applyFont="1" applyFill="1" applyBorder="1" applyAlignment="1">
      <alignment horizontal="center" vertical="center" wrapText="1"/>
    </xf>
    <xf numFmtId="174" fontId="68" fillId="0" borderId="10" xfId="0" applyNumberFormat="1" applyFont="1" applyFill="1" applyBorder="1" applyAlignment="1">
      <alignment horizontal="center" vertical="center" wrapText="1"/>
    </xf>
    <xf numFmtId="171" fontId="69" fillId="0" borderId="10" xfId="42" applyFont="1" applyBorder="1" applyAlignment="1">
      <alignment vertical="center" wrapText="1"/>
    </xf>
    <xf numFmtId="0" fontId="62" fillId="0" borderId="10" xfId="0" applyFont="1" applyBorder="1" applyAlignment="1">
      <alignment/>
    </xf>
    <xf numFmtId="174" fontId="69" fillId="0" borderId="10" xfId="42" applyNumberFormat="1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174" fontId="69" fillId="0" borderId="11" xfId="42" applyNumberFormat="1" applyFont="1" applyBorder="1" applyAlignment="1">
      <alignment vertical="center" wrapText="1"/>
    </xf>
    <xf numFmtId="0" fontId="62" fillId="0" borderId="11" xfId="0" applyFont="1" applyBorder="1" applyAlignment="1">
      <alignment wrapText="1"/>
    </xf>
    <xf numFmtId="0" fontId="62" fillId="0" borderId="11" xfId="0" applyFont="1" applyBorder="1" applyAlignment="1">
      <alignment/>
    </xf>
    <xf numFmtId="0" fontId="69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174" fontId="70" fillId="0" borderId="11" xfId="42" applyNumberFormat="1" applyFont="1" applyBorder="1" applyAlignment="1">
      <alignment vertical="center" wrapText="1"/>
    </xf>
    <xf numFmtId="0" fontId="71" fillId="0" borderId="11" xfId="0" applyFont="1" applyBorder="1" applyAlignment="1">
      <alignment wrapText="1"/>
    </xf>
    <xf numFmtId="0" fontId="71" fillId="0" borderId="11" xfId="0" applyFont="1" applyBorder="1" applyAlignment="1">
      <alignment/>
    </xf>
    <xf numFmtId="0" fontId="69" fillId="0" borderId="10" xfId="0" applyFont="1" applyBorder="1" applyAlignment="1">
      <alignment wrapText="1"/>
    </xf>
    <xf numFmtId="171" fontId="62" fillId="0" borderId="10" xfId="0" applyNumberFormat="1" applyFont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74" fontId="57" fillId="0" borderId="10" xfId="42" applyNumberFormat="1" applyFont="1" applyBorder="1" applyAlignment="1">
      <alignment vertical="center" wrapText="1"/>
    </xf>
    <xf numFmtId="0" fontId="61" fillId="34" borderId="10" xfId="0" applyFont="1" applyFill="1" applyBorder="1" applyAlignment="1">
      <alignment wrapText="1"/>
    </xf>
    <xf numFmtId="174" fontId="57" fillId="34" borderId="10" xfId="42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/>
    </xf>
    <xf numFmtId="174" fontId="40" fillId="34" borderId="14" xfId="42" applyNumberFormat="1" applyFont="1" applyFill="1" applyBorder="1" applyAlignment="1">
      <alignment vertical="center" wrapText="1"/>
    </xf>
    <xf numFmtId="0" fontId="63" fillId="34" borderId="10" xfId="0" applyFont="1" applyFill="1" applyBorder="1" applyAlignment="1">
      <alignment/>
    </xf>
    <xf numFmtId="174" fontId="40" fillId="34" borderId="10" xfId="42" applyNumberFormat="1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174" fontId="5" fillId="22" borderId="14" xfId="42" applyNumberFormat="1" applyFont="1" applyFill="1" applyBorder="1" applyAlignment="1">
      <alignment vertical="center" wrapText="1"/>
    </xf>
    <xf numFmtId="0" fontId="0" fillId="22" borderId="14" xfId="0" applyFont="1" applyFill="1" applyBorder="1" applyAlignment="1">
      <alignment/>
    </xf>
    <xf numFmtId="0" fontId="57" fillId="0" borderId="11" xfId="0" applyFont="1" applyBorder="1" applyAlignment="1">
      <alignment vertical="center" wrapText="1"/>
    </xf>
    <xf numFmtId="174" fontId="57" fillId="0" borderId="11" xfId="42" applyNumberFormat="1" applyFont="1" applyBorder="1" applyAlignment="1">
      <alignment vertical="center" wrapText="1"/>
    </xf>
    <xf numFmtId="174" fontId="61" fillId="0" borderId="11" xfId="0" applyNumberFormat="1" applyFont="1" applyBorder="1" applyAlignment="1">
      <alignment wrapText="1"/>
    </xf>
    <xf numFmtId="0" fontId="61" fillId="0" borderId="11" xfId="0" applyFont="1" applyBorder="1" applyAlignment="1">
      <alignment/>
    </xf>
    <xf numFmtId="171" fontId="6" fillId="0" borderId="0" xfId="0" applyNumberFormat="1" applyFont="1" applyAlignment="1">
      <alignment horizontal="center"/>
    </xf>
    <xf numFmtId="174" fontId="61" fillId="0" borderId="11" xfId="0" applyNumberFormat="1" applyFont="1" applyBorder="1" applyAlignment="1">
      <alignment/>
    </xf>
    <xf numFmtId="43" fontId="6" fillId="0" borderId="0" xfId="0" applyNumberFormat="1" applyFont="1" applyAlignment="1">
      <alignment horizontal="center"/>
    </xf>
    <xf numFmtId="174" fontId="58" fillId="0" borderId="10" xfId="42" applyNumberFormat="1" applyFont="1" applyBorder="1" applyAlignment="1">
      <alignment vertical="center" wrapText="1"/>
    </xf>
    <xf numFmtId="0" fontId="3" fillId="2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7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72" fillId="37" borderId="11" xfId="0" applyFont="1" applyFill="1" applyBorder="1" applyAlignment="1">
      <alignment/>
    </xf>
    <xf numFmtId="182" fontId="72" fillId="0" borderId="22" xfId="0" applyNumberFormat="1" applyFont="1" applyFill="1" applyBorder="1" applyAlignment="1">
      <alignment horizontal="center" vertical="center"/>
    </xf>
    <xf numFmtId="182" fontId="72" fillId="0" borderId="23" xfId="0" applyNumberFormat="1" applyFont="1" applyFill="1" applyBorder="1" applyAlignment="1">
      <alignment horizontal="center" vertical="center"/>
    </xf>
    <xf numFmtId="182" fontId="72" fillId="0" borderId="24" xfId="0" applyNumberFormat="1" applyFont="1" applyFill="1" applyBorder="1" applyAlignment="1">
      <alignment horizontal="center" vertical="center"/>
    </xf>
    <xf numFmtId="174" fontId="40" fillId="0" borderId="10" xfId="42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43" fontId="40" fillId="0" borderId="10" xfId="0" applyNumberFormat="1" applyFont="1" applyBorder="1" applyAlignment="1">
      <alignment horizontal="center"/>
    </xf>
    <xf numFmtId="14" fontId="40" fillId="0" borderId="10" xfId="0" applyNumberFormat="1" applyFont="1" applyFill="1" applyBorder="1" applyAlignment="1">
      <alignment/>
    </xf>
    <xf numFmtId="0" fontId="40" fillId="22" borderId="10" xfId="0" applyFont="1" applyFill="1" applyBorder="1" applyAlignment="1">
      <alignment/>
    </xf>
    <xf numFmtId="174" fontId="40" fillId="22" borderId="10" xfId="42" applyNumberFormat="1" applyFont="1" applyFill="1" applyBorder="1" applyAlignment="1">
      <alignment/>
    </xf>
    <xf numFmtId="0" fontId="40" fillId="22" borderId="10" xfId="0" applyFont="1" applyFill="1" applyBorder="1" applyAlignment="1">
      <alignment horizontal="center"/>
    </xf>
    <xf numFmtId="0" fontId="40" fillId="22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2" fontId="63" fillId="0" borderId="25" xfId="0" applyNumberFormat="1" applyFont="1" applyBorder="1" applyAlignment="1">
      <alignment/>
    </xf>
    <xf numFmtId="0" fontId="63" fillId="0" borderId="25" xfId="0" applyFont="1" applyBorder="1" applyAlignment="1">
      <alignment/>
    </xf>
    <xf numFmtId="2" fontId="63" fillId="0" borderId="26" xfId="0" applyNumberFormat="1" applyFont="1" applyBorder="1" applyAlignment="1">
      <alignment/>
    </xf>
    <xf numFmtId="0" fontId="63" fillId="0" borderId="26" xfId="0" applyFont="1" applyBorder="1" applyAlignment="1">
      <alignment/>
    </xf>
    <xf numFmtId="181" fontId="40" fillId="22" borderId="1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74" fontId="40" fillId="0" borderId="0" xfId="42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174" fontId="40" fillId="0" borderId="0" xfId="0" applyNumberFormat="1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33" xfId="0" applyFont="1" applyBorder="1" applyAlignment="1">
      <alignment/>
    </xf>
    <xf numFmtId="0" fontId="63" fillId="0" borderId="0" xfId="0" applyFont="1" applyBorder="1" applyAlignment="1">
      <alignment/>
    </xf>
    <xf numFmtId="0" fontId="73" fillId="0" borderId="10" xfId="0" applyFont="1" applyFill="1" applyBorder="1" applyAlignment="1">
      <alignment horizontal="left"/>
    </xf>
    <xf numFmtId="174" fontId="73" fillId="0" borderId="10" xfId="42" applyNumberFormat="1" applyFont="1" applyFill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14" fontId="73" fillId="0" borderId="10" xfId="0" applyNumberFormat="1" applyFont="1" applyFill="1" applyBorder="1" applyAlignment="1">
      <alignment horizontal="left"/>
    </xf>
    <xf numFmtId="43" fontId="73" fillId="0" borderId="10" xfId="0" applyNumberFormat="1" applyFont="1" applyBorder="1" applyAlignment="1">
      <alignment horizontal="center"/>
    </xf>
    <xf numFmtId="14" fontId="73" fillId="0" borderId="10" xfId="0" applyNumberFormat="1" applyFont="1" applyFill="1" applyBorder="1" applyAlignment="1">
      <alignment/>
    </xf>
    <xf numFmtId="14" fontId="70" fillId="0" borderId="10" xfId="0" applyNumberFormat="1" applyFont="1" applyFill="1" applyBorder="1" applyAlignment="1">
      <alignment/>
    </xf>
    <xf numFmtId="174" fontId="70" fillId="0" borderId="10" xfId="42" applyNumberFormat="1" applyFont="1" applyFill="1" applyBorder="1" applyAlignment="1">
      <alignment/>
    </xf>
    <xf numFmtId="43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0" fillId="0" borderId="10" xfId="0" applyFont="1" applyFill="1" applyBorder="1" applyAlignment="1">
      <alignment/>
    </xf>
    <xf numFmtId="2" fontId="71" fillId="0" borderId="26" xfId="0" applyNumberFormat="1" applyFont="1" applyBorder="1" applyAlignment="1">
      <alignment/>
    </xf>
    <xf numFmtId="0" fontId="71" fillId="0" borderId="10" xfId="0" applyFont="1" applyBorder="1" applyAlignment="1">
      <alignment/>
    </xf>
    <xf numFmtId="43" fontId="40" fillId="0" borderId="0" xfId="0" applyNumberFormat="1" applyFont="1" applyAlignment="1">
      <alignment horizontal="center"/>
    </xf>
    <xf numFmtId="43" fontId="40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19.57421875" style="0" customWidth="1"/>
    <col min="2" max="2" width="20.7109375" style="0" customWidth="1"/>
    <col min="3" max="3" width="14.140625" style="0" customWidth="1"/>
    <col min="4" max="4" width="9.8515625" style="0" customWidth="1"/>
    <col min="5" max="5" width="18.28125" style="0" customWidth="1"/>
    <col min="6" max="6" width="26.7109375" style="0" customWidth="1"/>
    <col min="7" max="7" width="18.7109375" style="0" customWidth="1"/>
    <col min="8" max="9" width="11.8515625" style="0" bestFit="1" customWidth="1"/>
  </cols>
  <sheetData>
    <row r="2" spans="2:7" ht="16.5">
      <c r="B2" s="165" t="s">
        <v>12</v>
      </c>
      <c r="C2" s="165"/>
      <c r="D2" s="165"/>
      <c r="E2" s="165"/>
      <c r="F2" s="165"/>
      <c r="G2" s="165"/>
    </row>
    <row r="3" spans="1:7" ht="16.5">
      <c r="A3" s="6" t="s">
        <v>4</v>
      </c>
      <c r="B3" s="7">
        <v>62620</v>
      </c>
      <c r="C3" s="1"/>
      <c r="D3" s="1"/>
      <c r="E3" s="1"/>
      <c r="F3" s="1"/>
      <c r="G3" s="1"/>
    </row>
    <row r="4" spans="1:7" ht="16.5">
      <c r="A4" s="6" t="s">
        <v>5</v>
      </c>
      <c r="B4" s="7">
        <v>80127</v>
      </c>
      <c r="C4" s="1"/>
      <c r="D4" s="1"/>
      <c r="E4" s="1"/>
      <c r="F4" s="1"/>
      <c r="G4" s="1"/>
    </row>
    <row r="5" spans="1:7" ht="16.5">
      <c r="A5" s="6" t="s">
        <v>6</v>
      </c>
      <c r="B5" s="8">
        <v>197840</v>
      </c>
      <c r="C5" s="1"/>
      <c r="D5" s="1"/>
      <c r="E5" s="1"/>
      <c r="F5" s="1"/>
      <c r="G5" s="1"/>
    </row>
    <row r="6" spans="1:7" ht="16.5">
      <c r="A6" s="6" t="s">
        <v>38</v>
      </c>
      <c r="B6" s="8">
        <f>C31</f>
        <v>195946.9615734536</v>
      </c>
      <c r="C6" s="1"/>
      <c r="D6" s="1"/>
      <c r="E6" s="1"/>
      <c r="F6" s="1"/>
      <c r="G6" s="1"/>
    </row>
    <row r="7" spans="1:7" ht="16.5">
      <c r="A7" s="9" t="s">
        <v>11</v>
      </c>
      <c r="B7" s="10">
        <f>B5-B6</f>
        <v>1893.038426546409</v>
      </c>
      <c r="C7" s="1"/>
      <c r="D7" s="1"/>
      <c r="E7" s="1"/>
      <c r="F7" s="1"/>
      <c r="G7" s="1"/>
    </row>
    <row r="8" spans="1:7" ht="15">
      <c r="A8" s="2"/>
      <c r="B8" s="3"/>
      <c r="C8" s="1"/>
      <c r="D8" s="1"/>
      <c r="E8" s="1"/>
      <c r="F8" s="1"/>
      <c r="G8" s="1"/>
    </row>
    <row r="9" spans="1:7" ht="16.5">
      <c r="A9" s="166"/>
      <c r="B9" s="166"/>
      <c r="C9" s="166"/>
      <c r="D9" s="166"/>
      <c r="E9" s="166"/>
      <c r="F9" s="166"/>
      <c r="G9" s="166"/>
    </row>
    <row r="10" spans="1:7" ht="15">
      <c r="A10" s="50" t="s">
        <v>7</v>
      </c>
      <c r="B10" s="50" t="s">
        <v>0</v>
      </c>
      <c r="C10" s="50" t="s">
        <v>1</v>
      </c>
      <c r="D10" s="50" t="s">
        <v>2</v>
      </c>
      <c r="E10" s="50" t="s">
        <v>8</v>
      </c>
      <c r="F10" s="51" t="s">
        <v>9</v>
      </c>
      <c r="G10" s="50" t="s">
        <v>3</v>
      </c>
    </row>
    <row r="11" spans="1:7" ht="41.25" customHeight="1">
      <c r="A11" s="45"/>
      <c r="B11" s="46"/>
      <c r="C11" s="46">
        <v>32506</v>
      </c>
      <c r="D11" s="47"/>
      <c r="E11" s="43" t="s">
        <v>14</v>
      </c>
      <c r="F11" s="43" t="s">
        <v>15</v>
      </c>
      <c r="G11" s="43" t="s">
        <v>16</v>
      </c>
    </row>
    <row r="12" spans="1:7" ht="41.25" customHeight="1">
      <c r="A12" s="48">
        <v>41664</v>
      </c>
      <c r="B12" s="49">
        <v>492910</v>
      </c>
      <c r="C12" s="52">
        <v>1360</v>
      </c>
      <c r="D12" s="47"/>
      <c r="E12" s="44" t="s">
        <v>17</v>
      </c>
      <c r="F12" s="44" t="s">
        <v>20</v>
      </c>
      <c r="G12" s="44" t="s">
        <v>22</v>
      </c>
    </row>
    <row r="13" spans="1:8" ht="15">
      <c r="A13" s="48">
        <v>41695</v>
      </c>
      <c r="B13" s="49">
        <v>492910</v>
      </c>
      <c r="C13" s="52">
        <v>1360</v>
      </c>
      <c r="D13" s="47"/>
      <c r="E13" s="44" t="s">
        <v>17</v>
      </c>
      <c r="F13" s="44" t="s">
        <v>21</v>
      </c>
      <c r="G13" s="44" t="s">
        <v>23</v>
      </c>
      <c r="H13" s="4"/>
    </row>
    <row r="14" spans="1:8" ht="45">
      <c r="A14" s="48">
        <v>41731</v>
      </c>
      <c r="B14" s="49">
        <v>995</v>
      </c>
      <c r="C14" s="52">
        <v>995</v>
      </c>
      <c r="D14" s="47"/>
      <c r="E14" s="43" t="s">
        <v>18</v>
      </c>
      <c r="F14" s="43" t="s">
        <v>26</v>
      </c>
      <c r="G14" s="44" t="s">
        <v>24</v>
      </c>
      <c r="H14" s="4"/>
    </row>
    <row r="15" spans="1:8" ht="30">
      <c r="A15" s="48">
        <v>41731</v>
      </c>
      <c r="B15" s="49">
        <v>1164450</v>
      </c>
      <c r="C15" s="52">
        <v>3256.17</v>
      </c>
      <c r="D15" s="47"/>
      <c r="E15" s="43" t="s">
        <v>19</v>
      </c>
      <c r="F15" s="43" t="s">
        <v>26</v>
      </c>
      <c r="G15" s="44" t="s">
        <v>25</v>
      </c>
      <c r="H15" s="5"/>
    </row>
    <row r="16" spans="1:8" ht="45">
      <c r="A16" s="48"/>
      <c r="B16" s="49"/>
      <c r="C16" s="52">
        <v>650</v>
      </c>
      <c r="D16" s="47"/>
      <c r="E16" s="43" t="s">
        <v>18</v>
      </c>
      <c r="F16" s="43" t="s">
        <v>27</v>
      </c>
      <c r="G16" s="44" t="s">
        <v>28</v>
      </c>
      <c r="H16" s="30"/>
    </row>
    <row r="17" spans="1:7" ht="15">
      <c r="A17" s="48"/>
      <c r="B17" s="49">
        <v>1100018</v>
      </c>
      <c r="C17" s="46">
        <v>3076</v>
      </c>
      <c r="D17" s="47"/>
      <c r="E17" s="43" t="s">
        <v>31</v>
      </c>
      <c r="F17" s="43" t="s">
        <v>30</v>
      </c>
      <c r="G17" s="44" t="s">
        <v>29</v>
      </c>
    </row>
    <row r="18" spans="1:9" ht="15">
      <c r="A18" s="53"/>
      <c r="B18" s="54">
        <v>1381419</v>
      </c>
      <c r="C18" s="27">
        <v>3863</v>
      </c>
      <c r="D18" s="55"/>
      <c r="E18" s="56" t="s">
        <v>31</v>
      </c>
      <c r="F18" s="56" t="s">
        <v>33</v>
      </c>
      <c r="G18" s="57" t="s">
        <v>32</v>
      </c>
      <c r="I18" s="5"/>
    </row>
    <row r="19" spans="1:9" ht="30">
      <c r="A19" s="48"/>
      <c r="B19" s="49">
        <f>138700</f>
        <v>138700</v>
      </c>
      <c r="C19" s="52">
        <v>387.85</v>
      </c>
      <c r="D19" s="47"/>
      <c r="E19" s="43" t="s">
        <v>37</v>
      </c>
      <c r="F19" s="43" t="s">
        <v>50</v>
      </c>
      <c r="G19" s="44" t="s">
        <v>49</v>
      </c>
      <c r="I19" s="5"/>
    </row>
    <row r="20" spans="1:8" ht="30">
      <c r="A20" s="48"/>
      <c r="B20" s="49">
        <v>2080000</v>
      </c>
      <c r="C20" s="52">
        <v>5816</v>
      </c>
      <c r="D20" s="47"/>
      <c r="E20" s="43" t="s">
        <v>35</v>
      </c>
      <c r="F20" s="43" t="s">
        <v>34</v>
      </c>
      <c r="G20" s="44" t="s">
        <v>36</v>
      </c>
      <c r="H20" s="5"/>
    </row>
    <row r="21" spans="1:8" ht="120">
      <c r="A21" s="48" t="s">
        <v>40</v>
      </c>
      <c r="B21" s="49">
        <v>25001615</v>
      </c>
      <c r="C21" s="46">
        <f>B21/D21</f>
        <v>70248.0015734536</v>
      </c>
      <c r="D21" s="47">
        <v>355.905</v>
      </c>
      <c r="E21" s="43" t="s">
        <v>51</v>
      </c>
      <c r="F21" s="43" t="s">
        <v>41</v>
      </c>
      <c r="G21" s="44" t="s">
        <v>42</v>
      </c>
      <c r="H21" s="31"/>
    </row>
    <row r="22" spans="1:8" ht="105">
      <c r="A22" s="48">
        <v>41771</v>
      </c>
      <c r="B22" s="49">
        <f>C22*D22</f>
        <v>11067933.69</v>
      </c>
      <c r="C22" s="46">
        <v>31098</v>
      </c>
      <c r="D22" s="47">
        <v>355.905</v>
      </c>
      <c r="E22" s="43" t="s">
        <v>43</v>
      </c>
      <c r="F22" s="43" t="s">
        <v>52</v>
      </c>
      <c r="G22" s="44" t="s">
        <v>44</v>
      </c>
      <c r="H22" s="5"/>
    </row>
    <row r="23" spans="1:8" ht="109.5" customHeight="1">
      <c r="A23" s="48"/>
      <c r="B23" s="49">
        <f>+C23*355.905</f>
        <v>5694480</v>
      </c>
      <c r="C23" s="46">
        <v>16000</v>
      </c>
      <c r="D23" s="47"/>
      <c r="E23" s="43" t="s">
        <v>45</v>
      </c>
      <c r="F23" s="43"/>
      <c r="G23" s="44" t="s">
        <v>46</v>
      </c>
      <c r="H23" s="5"/>
    </row>
    <row r="24" spans="1:8" ht="109.5" customHeight="1">
      <c r="A24" s="32"/>
      <c r="B24" s="33"/>
      <c r="C24" s="34"/>
      <c r="D24" s="35"/>
      <c r="E24" s="36"/>
      <c r="F24" s="36"/>
      <c r="G24" s="37"/>
      <c r="H24" s="5"/>
    </row>
    <row r="25" spans="1:8" ht="31.5" customHeight="1">
      <c r="A25" s="48"/>
      <c r="B25" s="49"/>
      <c r="C25" s="46">
        <v>3321</v>
      </c>
      <c r="D25" s="47"/>
      <c r="E25" s="43" t="s">
        <v>55</v>
      </c>
      <c r="F25" s="43"/>
      <c r="G25" s="44"/>
      <c r="H25" s="5"/>
    </row>
    <row r="26" spans="1:8" ht="48" customHeight="1">
      <c r="A26" s="48"/>
      <c r="B26" s="49"/>
      <c r="C26" s="46">
        <v>4458</v>
      </c>
      <c r="D26" s="47"/>
      <c r="E26" s="43" t="s">
        <v>56</v>
      </c>
      <c r="F26" s="43"/>
      <c r="G26" s="44"/>
      <c r="H26" s="5"/>
    </row>
    <row r="27" spans="1:8" ht="48" customHeight="1">
      <c r="A27" s="48"/>
      <c r="B27" s="49"/>
      <c r="C27" s="46">
        <v>12483</v>
      </c>
      <c r="D27" s="47"/>
      <c r="E27" s="43" t="s">
        <v>57</v>
      </c>
      <c r="F27" s="43"/>
      <c r="G27" s="44"/>
      <c r="H27" s="5"/>
    </row>
    <row r="28" spans="1:8" ht="48" customHeight="1">
      <c r="A28" s="38"/>
      <c r="B28" s="39"/>
      <c r="C28" s="40">
        <v>2955</v>
      </c>
      <c r="D28" s="41"/>
      <c r="E28" s="42" t="s">
        <v>58</v>
      </c>
      <c r="F28" s="43"/>
      <c r="G28" s="44"/>
      <c r="H28" s="5"/>
    </row>
    <row r="29" spans="1:8" ht="48" customHeight="1">
      <c r="A29" s="38"/>
      <c r="B29" s="39"/>
      <c r="C29" s="40">
        <f>1887.95</f>
        <v>1887.95</v>
      </c>
      <c r="D29" s="41"/>
      <c r="E29" s="43" t="s">
        <v>115</v>
      </c>
      <c r="F29" s="43"/>
      <c r="G29" s="44" t="s">
        <v>117</v>
      </c>
      <c r="H29" s="5"/>
    </row>
    <row r="30" spans="1:8" ht="109.5" customHeight="1">
      <c r="A30" s="48"/>
      <c r="B30" s="49"/>
      <c r="C30" s="46">
        <v>225.99</v>
      </c>
      <c r="D30" s="47"/>
      <c r="E30" s="43" t="s">
        <v>116</v>
      </c>
      <c r="F30" s="43" t="s">
        <v>48</v>
      </c>
      <c r="G30" s="44" t="s">
        <v>118</v>
      </c>
      <c r="H30" s="5"/>
    </row>
    <row r="31" spans="1:7" ht="15">
      <c r="A31" s="58" t="s">
        <v>10</v>
      </c>
      <c r="B31" s="40">
        <f>SUM(B11:B23)</f>
        <v>48615430.69</v>
      </c>
      <c r="C31" s="40">
        <f>SUM(C11:C30)</f>
        <v>195946.9615734536</v>
      </c>
      <c r="D31" s="59"/>
      <c r="E31" s="59"/>
      <c r="F31" s="60"/>
      <c r="G31" s="59"/>
    </row>
    <row r="32" spans="1:7" ht="15">
      <c r="A32" s="25"/>
      <c r="B32" s="25"/>
      <c r="C32" s="26"/>
      <c r="D32" s="25"/>
      <c r="E32" s="25"/>
      <c r="F32" s="25"/>
      <c r="G32" s="25"/>
    </row>
    <row r="33" spans="1:7" ht="15">
      <c r="A33" s="25"/>
      <c r="B33" s="25"/>
      <c r="C33" s="61"/>
      <c r="D33" s="25"/>
      <c r="E33" s="26"/>
      <c r="F33" s="25"/>
      <c r="G33" s="25"/>
    </row>
    <row r="34" spans="1:7" ht="15">
      <c r="A34" s="63" t="s">
        <v>60</v>
      </c>
      <c r="B34" s="63"/>
      <c r="C34" s="64"/>
      <c r="D34" s="23"/>
      <c r="E34" s="63"/>
      <c r="F34" s="63"/>
      <c r="G34" s="25"/>
    </row>
    <row r="35" spans="1:7" ht="15">
      <c r="A35" s="63" t="s">
        <v>59</v>
      </c>
      <c r="B35" s="65"/>
      <c r="C35" s="64"/>
      <c r="D35" s="63"/>
      <c r="E35" s="65"/>
      <c r="F35" s="23"/>
      <c r="G35" s="25"/>
    </row>
    <row r="36" spans="1:7" ht="15">
      <c r="A36" s="25"/>
      <c r="B36" s="26"/>
      <c r="C36" s="61"/>
      <c r="D36" s="25"/>
      <c r="E36" s="61"/>
      <c r="F36" s="62"/>
      <c r="G36" s="25"/>
    </row>
    <row r="37" spans="1:6" s="13" customFormat="1" ht="15">
      <c r="A37" s="11"/>
      <c r="B37" s="12"/>
      <c r="C37" s="17"/>
      <c r="D37" s="14"/>
      <c r="E37" s="15"/>
      <c r="F37" s="15"/>
    </row>
    <row r="38" spans="1:6" s="13" customFormat="1" ht="15">
      <c r="A38" s="16"/>
      <c r="B38" s="28"/>
      <c r="C38" s="17"/>
      <c r="D38" s="14"/>
      <c r="E38" s="15"/>
      <c r="F38" s="15"/>
    </row>
    <row r="39" spans="2:5" s="13" customFormat="1" ht="15">
      <c r="B39" s="29"/>
      <c r="C39" s="15"/>
      <c r="E39" s="15"/>
    </row>
    <row r="40" spans="1:5" s="13" customFormat="1" ht="15">
      <c r="A40" s="16"/>
      <c r="B40" s="14"/>
      <c r="C40" s="14"/>
      <c r="E40" s="15"/>
    </row>
    <row r="41" spans="1:5" s="13" customFormat="1" ht="15">
      <c r="A41" s="11"/>
      <c r="B41" s="18"/>
      <c r="C41" s="14"/>
      <c r="E41" s="15"/>
    </row>
    <row r="42" s="13" customFormat="1" ht="15"/>
    <row r="43" s="13" customFormat="1" ht="15"/>
    <row r="44" s="13" customFormat="1" ht="15"/>
    <row r="45" spans="1:2" s="13" customFormat="1" ht="15">
      <c r="A45" s="11"/>
      <c r="B45" s="11"/>
    </row>
  </sheetData>
  <sheetProtection/>
  <mergeCells count="2">
    <mergeCell ref="B2:G2"/>
    <mergeCell ref="A9:G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B1">
      <selection activeCell="G46" sqref="G46"/>
    </sheetView>
  </sheetViews>
  <sheetFormatPr defaultColWidth="9.140625" defaultRowHeight="15"/>
  <cols>
    <col min="1" max="1" width="30.28125" style="0" customWidth="1"/>
    <col min="2" max="2" width="29.00390625" style="0" customWidth="1"/>
    <col min="3" max="5" width="21.00390625" style="0" customWidth="1"/>
    <col min="6" max="6" width="13.421875" style="0" customWidth="1"/>
    <col min="7" max="7" width="14.421875" style="0" customWidth="1"/>
    <col min="8" max="8" width="15.8515625" style="0" customWidth="1"/>
    <col min="9" max="9" width="17.140625" style="0" customWidth="1"/>
  </cols>
  <sheetData>
    <row r="1" spans="1:9" ht="15">
      <c r="A1" s="171" t="s">
        <v>61</v>
      </c>
      <c r="B1" s="171"/>
      <c r="C1" s="171"/>
      <c r="D1" s="171"/>
      <c r="E1" s="171"/>
      <c r="F1" s="171"/>
      <c r="G1" s="171"/>
      <c r="H1" s="171"/>
      <c r="I1" s="171"/>
    </row>
    <row r="2" spans="1:9" ht="15">
      <c r="A2" s="79" t="s">
        <v>87</v>
      </c>
      <c r="B2" s="79">
        <v>54607</v>
      </c>
      <c r="D2" s="73"/>
      <c r="E2" s="73"/>
      <c r="F2" s="73"/>
      <c r="G2" s="73"/>
      <c r="H2" s="73"/>
      <c r="I2" s="73"/>
    </row>
    <row r="3" spans="1:9" ht="15">
      <c r="A3" s="79" t="s">
        <v>88</v>
      </c>
      <c r="B3" s="79">
        <v>46040</v>
      </c>
      <c r="D3" s="73"/>
      <c r="E3" s="73"/>
      <c r="F3" s="73"/>
      <c r="G3" s="73"/>
      <c r="H3" s="73"/>
      <c r="I3" s="73"/>
    </row>
    <row r="4" spans="1:9" ht="15">
      <c r="A4" s="87" t="s">
        <v>89</v>
      </c>
      <c r="B4" s="87">
        <v>11980</v>
      </c>
      <c r="D4" s="73"/>
      <c r="E4" s="73"/>
      <c r="F4" s="73"/>
      <c r="G4" s="73"/>
      <c r="H4" s="73"/>
      <c r="I4" s="73"/>
    </row>
    <row r="5" spans="1:9" ht="15">
      <c r="A5" s="80" t="s">
        <v>138</v>
      </c>
      <c r="B5" s="80">
        <v>50000</v>
      </c>
      <c r="C5" s="73"/>
      <c r="D5" s="73"/>
      <c r="E5" s="73"/>
      <c r="F5" s="73"/>
      <c r="G5" s="73"/>
      <c r="H5" s="73"/>
      <c r="I5" s="73"/>
    </row>
    <row r="6" spans="1:9" ht="15">
      <c r="A6" s="80" t="s">
        <v>100</v>
      </c>
      <c r="B6" s="81">
        <f>+D16+D19+D24+D36+D38</f>
        <v>43755.3640821074</v>
      </c>
      <c r="C6" s="73"/>
      <c r="D6" s="89"/>
      <c r="E6" s="89"/>
      <c r="F6" s="73"/>
      <c r="G6" s="163"/>
      <c r="H6" s="73"/>
      <c r="I6" s="73"/>
    </row>
    <row r="7" spans="1:9" ht="15">
      <c r="A7" s="80" t="s">
        <v>11</v>
      </c>
      <c r="B7" s="81">
        <f>B5-B6</f>
        <v>6244.6359178925995</v>
      </c>
      <c r="C7" s="73"/>
      <c r="D7" s="73"/>
      <c r="E7" s="73"/>
      <c r="F7" s="73"/>
      <c r="G7" s="73"/>
      <c r="H7" s="73"/>
      <c r="I7" s="73"/>
    </row>
    <row r="8" spans="1:9" ht="15">
      <c r="A8" s="75"/>
      <c r="B8" s="76"/>
      <c r="C8" s="73"/>
      <c r="D8" s="73"/>
      <c r="E8" s="161"/>
      <c r="F8" s="89"/>
      <c r="G8" s="89"/>
      <c r="H8" s="73"/>
      <c r="I8" s="73"/>
    </row>
    <row r="9" spans="1:9" ht="30">
      <c r="A9" s="72" t="s">
        <v>127</v>
      </c>
      <c r="B9" s="71" t="s">
        <v>62</v>
      </c>
      <c r="C9" s="71" t="s">
        <v>73</v>
      </c>
      <c r="D9" s="71" t="s">
        <v>74</v>
      </c>
      <c r="E9" s="71" t="s">
        <v>81</v>
      </c>
      <c r="F9" s="71" t="s">
        <v>54</v>
      </c>
      <c r="G9" s="71" t="s">
        <v>72</v>
      </c>
      <c r="H9" s="71" t="s">
        <v>75</v>
      </c>
      <c r="I9" s="71" t="s">
        <v>13</v>
      </c>
    </row>
    <row r="10" spans="1:9" ht="15" customHeight="1">
      <c r="A10" s="96" t="s">
        <v>129</v>
      </c>
      <c r="B10" s="96" t="s">
        <v>63</v>
      </c>
      <c r="C10" s="104">
        <f>8000-5000</f>
        <v>3000</v>
      </c>
      <c r="D10" s="124">
        <f>67500/387.183</f>
        <v>174.33616661888564</v>
      </c>
      <c r="E10" s="125" t="s">
        <v>83</v>
      </c>
      <c r="F10" s="126">
        <f>C10-D10</f>
        <v>2825.6638333811143</v>
      </c>
      <c r="G10" s="125" t="s">
        <v>86</v>
      </c>
      <c r="H10" s="125" t="s">
        <v>90</v>
      </c>
      <c r="I10" s="127" t="s">
        <v>91</v>
      </c>
    </row>
    <row r="11" spans="1:9" ht="45">
      <c r="A11" s="109"/>
      <c r="B11" s="109"/>
      <c r="C11" s="95"/>
      <c r="D11" s="124">
        <f>491000/387.193</f>
        <v>1268.1014377842575</v>
      </c>
      <c r="E11" s="125" t="s">
        <v>84</v>
      </c>
      <c r="F11" s="126">
        <f>F10-D11</f>
        <v>1557.5623955968567</v>
      </c>
      <c r="G11" s="125" t="s">
        <v>95</v>
      </c>
      <c r="H11" s="125" t="s">
        <v>96</v>
      </c>
      <c r="I11" s="127"/>
    </row>
    <row r="12" spans="1:9" ht="30">
      <c r="A12" s="109"/>
      <c r="B12" s="109"/>
      <c r="C12" s="95"/>
      <c r="D12" s="124">
        <f>100000/387.193</f>
        <v>258.2691319316207</v>
      </c>
      <c r="E12" s="125" t="s">
        <v>85</v>
      </c>
      <c r="F12" s="126">
        <f>F11-D12</f>
        <v>1299.293263665236</v>
      </c>
      <c r="G12" s="125" t="s">
        <v>97</v>
      </c>
      <c r="H12" s="125" t="s">
        <v>98</v>
      </c>
      <c r="I12" s="127"/>
    </row>
    <row r="13" spans="1:9" ht="30" customHeight="1">
      <c r="A13" s="109"/>
      <c r="B13" s="109"/>
      <c r="C13" s="95"/>
      <c r="D13" s="123">
        <v>0</v>
      </c>
      <c r="E13" s="125" t="s">
        <v>92</v>
      </c>
      <c r="F13" s="126">
        <f>F12-D13</f>
        <v>1299.293263665236</v>
      </c>
      <c r="G13" s="125"/>
      <c r="H13" s="125"/>
      <c r="I13" s="127"/>
    </row>
    <row r="14" spans="1:9" ht="33.75" customHeight="1">
      <c r="A14" s="109"/>
      <c r="B14" s="109"/>
      <c r="C14" s="95"/>
      <c r="D14" s="128">
        <f>103200/387.193</f>
        <v>266.53374415343256</v>
      </c>
      <c r="E14" s="125" t="s">
        <v>93</v>
      </c>
      <c r="F14" s="129">
        <f>F13-D14</f>
        <v>1032.7595195118035</v>
      </c>
      <c r="G14" s="125"/>
      <c r="H14" s="125" t="s">
        <v>94</v>
      </c>
      <c r="I14" s="127"/>
    </row>
    <row r="15" spans="1:9" ht="72.75" customHeight="1">
      <c r="A15" s="108"/>
      <c r="B15" s="108"/>
      <c r="C15" s="78"/>
      <c r="D15" s="130">
        <f>250000/387.193</f>
        <v>645.6728298290517</v>
      </c>
      <c r="E15" s="131" t="s">
        <v>102</v>
      </c>
      <c r="F15" s="132">
        <f>F14-D15</f>
        <v>387.08668968275185</v>
      </c>
      <c r="G15" s="131" t="s">
        <v>111</v>
      </c>
      <c r="H15" s="131" t="s">
        <v>112</v>
      </c>
      <c r="I15" s="133" t="s">
        <v>76</v>
      </c>
    </row>
    <row r="16" spans="1:9" ht="72.75" customHeight="1">
      <c r="A16" s="179" t="s">
        <v>177</v>
      </c>
      <c r="B16" s="180"/>
      <c r="C16" s="151">
        <f>SUM(C10:C15)</f>
        <v>3000</v>
      </c>
      <c r="D16" s="151">
        <f>SUM(D10:D15)</f>
        <v>2612.913310317248</v>
      </c>
      <c r="E16" s="152"/>
      <c r="F16" s="153">
        <f>C16-D16</f>
        <v>387.08668968275197</v>
      </c>
      <c r="G16" s="152"/>
      <c r="H16" s="152"/>
      <c r="I16" s="154"/>
    </row>
    <row r="17" spans="1:9" ht="30" customHeight="1">
      <c r="A17" s="172" t="s">
        <v>128</v>
      </c>
      <c r="B17" s="172"/>
      <c r="C17" s="172"/>
      <c r="D17" s="172"/>
      <c r="E17" s="172"/>
      <c r="F17" s="101">
        <f>F15</f>
        <v>387.08668968275185</v>
      </c>
      <c r="G17" s="102"/>
      <c r="H17" s="102"/>
      <c r="I17" s="103"/>
    </row>
    <row r="18" spans="1:9" ht="93.75" customHeight="1">
      <c r="A18" s="66" t="s">
        <v>130</v>
      </c>
      <c r="B18" s="143" t="s">
        <v>64</v>
      </c>
      <c r="C18" s="132">
        <v>5000</v>
      </c>
      <c r="D18" s="132">
        <v>5000</v>
      </c>
      <c r="E18" s="144">
        <f>SUM(D10:D15)</f>
        <v>2612.913310317248</v>
      </c>
      <c r="F18" s="132">
        <f>C18-D18</f>
        <v>0</v>
      </c>
      <c r="G18" s="131"/>
      <c r="H18" s="131"/>
      <c r="I18" s="133" t="s">
        <v>77</v>
      </c>
    </row>
    <row r="19" spans="1:9" ht="93.75" customHeight="1">
      <c r="A19" s="181" t="s">
        <v>178</v>
      </c>
      <c r="B19" s="182"/>
      <c r="C19" s="132">
        <f>SUM(C18)</f>
        <v>5000</v>
      </c>
      <c r="D19" s="132">
        <f>SUM(D18)</f>
        <v>5000</v>
      </c>
      <c r="E19" s="144">
        <f>C19-D19</f>
        <v>0</v>
      </c>
      <c r="F19" s="132"/>
      <c r="G19" s="131"/>
      <c r="H19" s="131"/>
      <c r="I19" s="133"/>
    </row>
    <row r="20" spans="1:9" ht="45" customHeight="1">
      <c r="A20" s="175" t="s">
        <v>131</v>
      </c>
      <c r="B20" s="175"/>
      <c r="C20" s="175"/>
      <c r="D20" s="175"/>
      <c r="E20" s="175"/>
      <c r="F20" s="98">
        <v>0</v>
      </c>
      <c r="G20" s="99"/>
      <c r="H20" s="99"/>
      <c r="I20" s="97"/>
    </row>
    <row r="21" spans="1:9" ht="54" customHeight="1">
      <c r="A21" s="173" t="s">
        <v>132</v>
      </c>
      <c r="B21" s="167" t="s">
        <v>65</v>
      </c>
      <c r="C21" s="170">
        <v>500</v>
      </c>
      <c r="D21" s="78"/>
      <c r="E21" s="94"/>
      <c r="F21" s="78">
        <f>C21-D21</f>
        <v>500</v>
      </c>
      <c r="G21" s="94"/>
      <c r="H21" s="94"/>
      <c r="I21" s="168" t="s">
        <v>78</v>
      </c>
    </row>
    <row r="22" spans="1:9" ht="54" customHeight="1">
      <c r="A22" s="173"/>
      <c r="B22" s="168"/>
      <c r="C22" s="170"/>
      <c r="D22" s="132">
        <v>46.48</v>
      </c>
      <c r="E22" s="134" t="s">
        <v>110</v>
      </c>
      <c r="F22" s="132">
        <f>F21-D22</f>
        <v>453.52</v>
      </c>
      <c r="G22" s="131" t="s">
        <v>113</v>
      </c>
      <c r="H22" s="131" t="s">
        <v>114</v>
      </c>
      <c r="I22" s="168"/>
    </row>
    <row r="23" spans="1:9" ht="54" customHeight="1">
      <c r="A23" s="173"/>
      <c r="B23" s="169"/>
      <c r="C23" s="170"/>
      <c r="D23" s="132">
        <f>60000/394.996</f>
        <v>151.90027240782186</v>
      </c>
      <c r="E23" s="134" t="s">
        <v>154</v>
      </c>
      <c r="F23" s="132">
        <f>+F22-D23</f>
        <v>301.61972759217815</v>
      </c>
      <c r="G23" s="131" t="s">
        <v>113</v>
      </c>
      <c r="H23" s="131" t="s">
        <v>169</v>
      </c>
      <c r="I23" s="168"/>
    </row>
    <row r="24" spans="1:9" ht="54" customHeight="1">
      <c r="A24" s="66"/>
      <c r="B24" s="66" t="s">
        <v>176</v>
      </c>
      <c r="C24" s="149">
        <f>SUM(C21:C23)</f>
        <v>500</v>
      </c>
      <c r="D24" s="149">
        <f>SUM(D21:D23)</f>
        <v>198.38027240782185</v>
      </c>
      <c r="E24" s="148"/>
      <c r="F24" s="149">
        <f>C24-D24</f>
        <v>301.61972759217815</v>
      </c>
      <c r="G24" s="150"/>
      <c r="H24" s="150"/>
      <c r="I24" s="168"/>
    </row>
    <row r="25" spans="1:9" ht="25.5" customHeight="1" thickBot="1">
      <c r="A25" s="176" t="s">
        <v>133</v>
      </c>
      <c r="B25" s="177"/>
      <c r="C25" s="177"/>
      <c r="D25" s="177"/>
      <c r="E25" s="178"/>
      <c r="F25" s="155">
        <f>+F23</f>
        <v>301.61972759217815</v>
      </c>
      <c r="G25" s="156"/>
      <c r="H25" s="156"/>
      <c r="I25" s="100"/>
    </row>
    <row r="26" spans="1:9" ht="66.75" customHeight="1">
      <c r="A26" s="145" t="s">
        <v>134</v>
      </c>
      <c r="B26" s="66" t="s">
        <v>66</v>
      </c>
      <c r="C26" s="68">
        <f>13900+5000</f>
        <v>18900</v>
      </c>
      <c r="D26" s="68"/>
      <c r="E26" s="67"/>
      <c r="F26" s="68">
        <f>C26-D26</f>
        <v>18900</v>
      </c>
      <c r="G26" s="67"/>
      <c r="H26" s="67"/>
      <c r="I26" s="66" t="s">
        <v>79</v>
      </c>
    </row>
    <row r="27" spans="1:9" ht="66.75" customHeight="1">
      <c r="A27" s="146"/>
      <c r="B27" s="66" t="s">
        <v>119</v>
      </c>
      <c r="C27" s="68"/>
      <c r="D27" s="132">
        <f>603876/390.079</f>
        <v>1548.0864132650054</v>
      </c>
      <c r="E27" s="133" t="s">
        <v>119</v>
      </c>
      <c r="F27" s="132">
        <f>F26-D27</f>
        <v>17351.913586734994</v>
      </c>
      <c r="G27" s="131" t="s">
        <v>47</v>
      </c>
      <c r="H27" s="131" t="s">
        <v>121</v>
      </c>
      <c r="I27" s="133"/>
    </row>
    <row r="28" spans="1:9" ht="75" customHeight="1">
      <c r="A28" s="146"/>
      <c r="B28" s="96" t="s">
        <v>120</v>
      </c>
      <c r="C28" s="68"/>
      <c r="D28" s="135">
        <v>1640</v>
      </c>
      <c r="E28" s="136" t="s">
        <v>167</v>
      </c>
      <c r="F28" s="135">
        <f>F27-D28</f>
        <v>15711.913586734994</v>
      </c>
      <c r="G28" s="137" t="s">
        <v>39</v>
      </c>
      <c r="H28" s="137" t="s">
        <v>151</v>
      </c>
      <c r="I28" s="138"/>
    </row>
    <row r="29" spans="1:9" ht="66.75" customHeight="1">
      <c r="A29" s="146"/>
      <c r="B29" s="96" t="s">
        <v>149</v>
      </c>
      <c r="C29" s="68"/>
      <c r="D29" s="135">
        <v>5521</v>
      </c>
      <c r="E29" s="136" t="s">
        <v>150</v>
      </c>
      <c r="F29" s="135">
        <f>F28-D29</f>
        <v>10190.913586734994</v>
      </c>
      <c r="G29" s="137" t="s">
        <v>168</v>
      </c>
      <c r="H29" s="137" t="s">
        <v>148</v>
      </c>
      <c r="I29" s="138"/>
    </row>
    <row r="30" spans="1:9" ht="66.75" customHeight="1">
      <c r="A30" s="146"/>
      <c r="B30" s="96"/>
      <c r="C30" s="68"/>
      <c r="D30" s="117">
        <v>0</v>
      </c>
      <c r="E30" s="118" t="s">
        <v>152</v>
      </c>
      <c r="F30" s="117">
        <f>+F29-D30</f>
        <v>10190.913586734994</v>
      </c>
      <c r="G30" s="118" t="s">
        <v>171</v>
      </c>
      <c r="H30" s="119" t="s">
        <v>173</v>
      </c>
      <c r="I30" s="120"/>
    </row>
    <row r="31" spans="1:9" ht="66.75" customHeight="1">
      <c r="A31" s="146"/>
      <c r="B31" s="96"/>
      <c r="C31" s="68"/>
      <c r="D31" s="135">
        <f>(25000*36)/394.996</f>
        <v>2278.504086117328</v>
      </c>
      <c r="E31" s="136" t="s">
        <v>153</v>
      </c>
      <c r="F31" s="135">
        <f>+F30-D31</f>
        <v>7912.409500617667</v>
      </c>
      <c r="G31" s="136" t="s">
        <v>156</v>
      </c>
      <c r="H31" s="137" t="s">
        <v>155</v>
      </c>
      <c r="I31" s="138"/>
    </row>
    <row r="32" spans="1:9" ht="66.75" customHeight="1">
      <c r="A32" s="146"/>
      <c r="B32" s="96"/>
      <c r="C32" s="68"/>
      <c r="D32" s="140">
        <v>0</v>
      </c>
      <c r="E32" s="141" t="s">
        <v>157</v>
      </c>
      <c r="F32" s="140">
        <f>+F31-D32</f>
        <v>7912.409500617667</v>
      </c>
      <c r="G32" s="142" t="s">
        <v>172</v>
      </c>
      <c r="H32" s="142"/>
      <c r="I32" s="120"/>
    </row>
    <row r="33" spans="1:9" ht="66.75" customHeight="1">
      <c r="A33" s="146"/>
      <c r="B33" s="96"/>
      <c r="C33" s="68"/>
      <c r="D33" s="117">
        <f>786</f>
        <v>786</v>
      </c>
      <c r="E33" s="118" t="s">
        <v>174</v>
      </c>
      <c r="F33" s="117">
        <f>+F32-D33</f>
        <v>7126.409500617667</v>
      </c>
      <c r="G33" s="119" t="s">
        <v>47</v>
      </c>
      <c r="H33" s="119"/>
      <c r="I33" s="120"/>
    </row>
    <row r="34" spans="1:9" ht="66.75" customHeight="1">
      <c r="A34" s="146"/>
      <c r="B34" s="96"/>
      <c r="C34" s="68"/>
      <c r="D34" s="104">
        <v>1557.48</v>
      </c>
      <c r="E34" s="105" t="s">
        <v>175</v>
      </c>
      <c r="F34" s="104">
        <f>F33-D34</f>
        <v>5568.929500617667</v>
      </c>
      <c r="G34" s="139" t="s">
        <v>39</v>
      </c>
      <c r="H34" s="106"/>
      <c r="I34" s="96"/>
    </row>
    <row r="35" spans="1:9" ht="107.25" customHeight="1">
      <c r="A35" s="146"/>
      <c r="B35" s="120"/>
      <c r="C35" s="164"/>
      <c r="D35" s="117">
        <v>2613</v>
      </c>
      <c r="E35" s="118" t="s">
        <v>183</v>
      </c>
      <c r="F35" s="117">
        <f>+F34-D35</f>
        <v>2955.929500617667</v>
      </c>
      <c r="G35" s="119" t="s">
        <v>184</v>
      </c>
      <c r="H35" s="119"/>
      <c r="I35" s="120"/>
    </row>
    <row r="36" spans="1:9" ht="66.75" customHeight="1">
      <c r="A36" s="146"/>
      <c r="B36" s="157" t="s">
        <v>179</v>
      </c>
      <c r="C36" s="147">
        <f>SUM(C26)</f>
        <v>18900</v>
      </c>
      <c r="D36" s="158">
        <f>SUM(D26:D35)</f>
        <v>15944.070499382333</v>
      </c>
      <c r="E36" s="159"/>
      <c r="F36" s="158">
        <f>+C36-D36</f>
        <v>2955.929500617667</v>
      </c>
      <c r="G36" s="162"/>
      <c r="H36" s="160"/>
      <c r="I36" s="157"/>
    </row>
    <row r="37" spans="1:9" ht="28.5" customHeight="1">
      <c r="A37" s="175" t="s">
        <v>135</v>
      </c>
      <c r="B37" s="175"/>
      <c r="C37" s="175"/>
      <c r="D37" s="175"/>
      <c r="E37" s="175"/>
      <c r="F37" s="98">
        <f>+E36</f>
        <v>0</v>
      </c>
      <c r="G37" s="99"/>
      <c r="H37" s="99"/>
      <c r="I37" s="97"/>
    </row>
    <row r="38" spans="1:9" ht="76.5" customHeight="1">
      <c r="A38" s="77" t="s">
        <v>136</v>
      </c>
      <c r="B38" s="109" t="s">
        <v>67</v>
      </c>
      <c r="C38" s="95">
        <v>20000</v>
      </c>
      <c r="D38" s="95">
        <v>20000</v>
      </c>
      <c r="E38" s="110" t="s">
        <v>82</v>
      </c>
      <c r="F38" s="95">
        <f>C38-D38</f>
        <v>0</v>
      </c>
      <c r="G38" s="111"/>
      <c r="H38" s="112" t="s">
        <v>80</v>
      </c>
      <c r="I38" s="109" t="s">
        <v>68</v>
      </c>
    </row>
    <row r="39" spans="1:9" ht="30" customHeight="1">
      <c r="A39" s="174" t="s">
        <v>137</v>
      </c>
      <c r="B39" s="174"/>
      <c r="C39" s="174"/>
      <c r="D39" s="174"/>
      <c r="E39" s="174"/>
      <c r="F39" s="113">
        <f>0</f>
        <v>0</v>
      </c>
      <c r="G39" s="114"/>
      <c r="H39" s="115"/>
      <c r="I39" s="116"/>
    </row>
    <row r="40" spans="1:9" ht="48.75" customHeight="1" thickBot="1">
      <c r="A40" s="107" t="s">
        <v>69</v>
      </c>
      <c r="B40" s="108" t="s">
        <v>70</v>
      </c>
      <c r="C40" s="78">
        <v>2600</v>
      </c>
      <c r="D40" s="78"/>
      <c r="E40" s="94"/>
      <c r="F40" s="78">
        <f>C40-D40</f>
        <v>2600</v>
      </c>
      <c r="G40" s="94"/>
      <c r="H40" s="94">
        <v>5632124</v>
      </c>
      <c r="I40" s="94"/>
    </row>
    <row r="41" spans="1:9" ht="15">
      <c r="A41" s="70" t="s">
        <v>71</v>
      </c>
      <c r="B41" s="67"/>
      <c r="C41" s="69">
        <f>SUM(C10:C40)</f>
        <v>77400</v>
      </c>
      <c r="D41" s="69">
        <f>SUM(D10:D40)</f>
        <v>67510.72816421482</v>
      </c>
      <c r="E41" s="67"/>
      <c r="F41" s="69">
        <f>C41-D41</f>
        <v>9889.271835785185</v>
      </c>
      <c r="G41" s="67"/>
      <c r="H41" s="67"/>
      <c r="I41" s="67"/>
    </row>
    <row r="42" ht="22.5" customHeight="1"/>
    <row r="43" ht="10.5" customHeight="1">
      <c r="H43" s="74"/>
    </row>
    <row r="44" ht="6.75" customHeight="1"/>
    <row r="46" ht="15">
      <c r="E46" s="74"/>
    </row>
    <row r="47" ht="15">
      <c r="A47" s="2"/>
    </row>
    <row r="48" ht="15">
      <c r="A48" s="2"/>
    </row>
    <row r="49" ht="15">
      <c r="A49" s="2"/>
    </row>
    <row r="50" ht="15">
      <c r="A50" s="2"/>
    </row>
    <row r="52" ht="15">
      <c r="A52" s="2"/>
    </row>
  </sheetData>
  <sheetProtection/>
  <mergeCells count="12">
    <mergeCell ref="A39:E39"/>
    <mergeCell ref="A20:E20"/>
    <mergeCell ref="A25:E25"/>
    <mergeCell ref="A37:E37"/>
    <mergeCell ref="A16:B16"/>
    <mergeCell ref="A19:B19"/>
    <mergeCell ref="B21:B23"/>
    <mergeCell ref="C21:C23"/>
    <mergeCell ref="A1:I1"/>
    <mergeCell ref="I21:I24"/>
    <mergeCell ref="A17:E17"/>
    <mergeCell ref="A21:A23"/>
  </mergeCells>
  <printOptions/>
  <pageMargins left="0.7" right="0.7" top="0.75" bottom="0.75" header="0.3" footer="0.3"/>
  <pageSetup horizontalDpi="600" verticalDpi="600" orientation="landscape" paperSize="9" scale="70" r:id="rId4"/>
  <legacyDrawing r:id="rId3"/>
  <oleObjects>
    <oleObject progId="Word.Document.12" shapeId="97085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J7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5.8515625" style="0" customWidth="1"/>
    <col min="2" max="2" width="15.140625" style="0" customWidth="1"/>
    <col min="3" max="3" width="20.28125" style="0" customWidth="1"/>
    <col min="4" max="4" width="19.57421875" style="0" customWidth="1"/>
    <col min="5" max="5" width="15.421875" style="0" customWidth="1"/>
    <col min="6" max="6" width="31.00390625" style="0" customWidth="1"/>
    <col min="7" max="7" width="23.28125" style="0" customWidth="1"/>
    <col min="8" max="9" width="14.57421875" style="0" customWidth="1"/>
  </cols>
  <sheetData>
    <row r="3" spans="1:9" ht="15">
      <c r="A3" s="171" t="s">
        <v>101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73"/>
      <c r="B4" s="73"/>
      <c r="C4" s="73"/>
      <c r="D4" s="73"/>
      <c r="E4" s="73"/>
      <c r="F4" s="73"/>
      <c r="G4" s="73"/>
      <c r="H4" s="73"/>
      <c r="I4" s="73"/>
    </row>
    <row r="5" spans="1:9" ht="15">
      <c r="A5" s="79" t="s">
        <v>87</v>
      </c>
      <c r="B5" s="82">
        <v>54607</v>
      </c>
      <c r="D5" s="73"/>
      <c r="E5" s="73"/>
      <c r="F5" s="73"/>
      <c r="G5" s="73"/>
      <c r="H5" s="73"/>
      <c r="I5" s="73"/>
    </row>
    <row r="6" spans="1:9" ht="15">
      <c r="A6" s="79" t="s">
        <v>88</v>
      </c>
      <c r="B6" s="82">
        <v>46040</v>
      </c>
      <c r="D6" s="73"/>
      <c r="E6" s="73"/>
      <c r="F6" s="73"/>
      <c r="G6" s="73"/>
      <c r="H6" s="73"/>
      <c r="I6" s="73"/>
    </row>
    <row r="7" spans="1:9" ht="15">
      <c r="A7" s="79" t="s">
        <v>89</v>
      </c>
      <c r="B7" s="82">
        <v>4500</v>
      </c>
      <c r="D7" s="73"/>
      <c r="E7" s="73"/>
      <c r="F7" s="73"/>
      <c r="G7" s="73"/>
      <c r="H7" s="73"/>
      <c r="I7" s="73"/>
    </row>
    <row r="8" spans="1:9" ht="15">
      <c r="A8" s="85" t="s">
        <v>99</v>
      </c>
      <c r="B8" s="86">
        <v>107141</v>
      </c>
      <c r="C8" s="73"/>
      <c r="D8" s="89"/>
      <c r="E8" s="89"/>
      <c r="F8" s="73"/>
      <c r="G8" s="73"/>
      <c r="H8" s="73"/>
      <c r="I8" s="73"/>
    </row>
    <row r="9" spans="1:9" ht="15">
      <c r="A9" s="75" t="s">
        <v>100</v>
      </c>
      <c r="B9" s="88">
        <f>C41</f>
        <v>73498.95337682312</v>
      </c>
      <c r="C9" s="73"/>
      <c r="D9" s="89"/>
      <c r="E9" s="121"/>
      <c r="F9" s="73"/>
      <c r="G9" s="73"/>
      <c r="H9" s="73"/>
      <c r="I9" s="73"/>
    </row>
    <row r="10" spans="1:9" ht="15">
      <c r="A10" s="93" t="s">
        <v>11</v>
      </c>
      <c r="B10" s="92">
        <f>B8-B9</f>
        <v>33642.04662317688</v>
      </c>
      <c r="C10" s="73"/>
      <c r="D10" s="89"/>
      <c r="E10" s="73"/>
      <c r="F10" s="73"/>
      <c r="G10" s="73"/>
      <c r="H10" s="73"/>
      <c r="I10" s="73"/>
    </row>
    <row r="11" spans="1:9" ht="15">
      <c r="A11" s="80" t="s">
        <v>125</v>
      </c>
      <c r="B11" s="90">
        <f>C53</f>
        <v>18753.123464379656</v>
      </c>
      <c r="C11" s="73"/>
      <c r="D11" s="73"/>
      <c r="E11" s="73"/>
      <c r="F11" s="73"/>
      <c r="G11" s="73"/>
      <c r="H11" s="73"/>
      <c r="I11" s="73"/>
    </row>
    <row r="12" spans="1:9" ht="30">
      <c r="A12" s="91" t="s">
        <v>126</v>
      </c>
      <c r="B12" s="92">
        <f>B10-B11</f>
        <v>14888.923158797224</v>
      </c>
      <c r="C12" s="73"/>
      <c r="D12" s="73"/>
      <c r="E12" s="73"/>
      <c r="F12" s="73"/>
      <c r="G12" s="73"/>
      <c r="H12" s="73"/>
      <c r="I12" s="73"/>
    </row>
    <row r="13" spans="1:9" ht="15">
      <c r="A13" s="83"/>
      <c r="B13" s="84"/>
      <c r="C13" s="73"/>
      <c r="D13" s="73"/>
      <c r="E13" s="73"/>
      <c r="F13" s="73"/>
      <c r="G13" s="73"/>
      <c r="H13" s="73"/>
      <c r="I13" s="73"/>
    </row>
    <row r="14" spans="1:9" ht="33">
      <c r="A14" s="19" t="s">
        <v>7</v>
      </c>
      <c r="B14" s="19" t="s">
        <v>0</v>
      </c>
      <c r="C14" s="20" t="s">
        <v>1</v>
      </c>
      <c r="D14" s="19" t="s">
        <v>2</v>
      </c>
      <c r="E14" s="19" t="s">
        <v>8</v>
      </c>
      <c r="F14" s="20" t="s">
        <v>9</v>
      </c>
      <c r="G14" s="21" t="s">
        <v>3</v>
      </c>
      <c r="H14" s="22" t="s">
        <v>13</v>
      </c>
      <c r="I14" s="73"/>
    </row>
    <row r="15" spans="1:9" ht="15">
      <c r="A15" s="218" t="s">
        <v>103</v>
      </c>
      <c r="B15" s="219">
        <f>C15*D15</f>
        <v>191850.25957</v>
      </c>
      <c r="C15" s="220">
        <v>495.49</v>
      </c>
      <c r="D15" s="220">
        <v>387.193</v>
      </c>
      <c r="E15" s="220" t="s">
        <v>104</v>
      </c>
      <c r="F15" s="221" t="s">
        <v>105</v>
      </c>
      <c r="G15" s="220" t="s">
        <v>106</v>
      </c>
      <c r="H15" s="220"/>
      <c r="I15" s="73"/>
    </row>
    <row r="16" spans="1:9" ht="15">
      <c r="A16" s="218"/>
      <c r="B16" s="219">
        <f>C16*D16</f>
        <v>61699.204549999995</v>
      </c>
      <c r="C16" s="220">
        <v>159.35</v>
      </c>
      <c r="D16" s="220">
        <v>387.193</v>
      </c>
      <c r="E16" s="220" t="s">
        <v>104</v>
      </c>
      <c r="F16" s="221" t="s">
        <v>105</v>
      </c>
      <c r="G16" s="220" t="s">
        <v>106</v>
      </c>
      <c r="H16" s="220"/>
      <c r="I16" s="73"/>
    </row>
    <row r="17" spans="1:9" ht="15">
      <c r="A17" s="222">
        <v>41932</v>
      </c>
      <c r="B17" s="219">
        <v>1250000</v>
      </c>
      <c r="C17" s="223">
        <f>B17/D17</f>
        <v>3228.3641491452586</v>
      </c>
      <c r="D17" s="220">
        <v>387.193</v>
      </c>
      <c r="E17" s="220" t="s">
        <v>107</v>
      </c>
      <c r="F17" s="221" t="s">
        <v>108</v>
      </c>
      <c r="G17" s="220" t="s">
        <v>109</v>
      </c>
      <c r="H17" s="220"/>
      <c r="I17" s="73"/>
    </row>
    <row r="18" spans="1:9" ht="60">
      <c r="A18" s="222">
        <v>41960</v>
      </c>
      <c r="B18" s="219"/>
      <c r="C18" s="223">
        <f>57+498+233+138+1121+101</f>
        <v>2148</v>
      </c>
      <c r="D18" s="220"/>
      <c r="E18" s="220" t="s">
        <v>158</v>
      </c>
      <c r="F18" s="221" t="s">
        <v>163</v>
      </c>
      <c r="G18" s="220" t="s">
        <v>164</v>
      </c>
      <c r="H18" s="220"/>
      <c r="I18" s="73"/>
    </row>
    <row r="19" spans="1:9" ht="30">
      <c r="A19" s="222">
        <v>41962</v>
      </c>
      <c r="B19" s="219">
        <v>50000</v>
      </c>
      <c r="C19" s="223">
        <f>B19/D19</f>
        <v>128.18113532595183</v>
      </c>
      <c r="D19" s="220">
        <v>390.073</v>
      </c>
      <c r="E19" s="221" t="s">
        <v>139</v>
      </c>
      <c r="F19" s="221" t="s">
        <v>140</v>
      </c>
      <c r="G19" s="220" t="s">
        <v>142</v>
      </c>
      <c r="H19" s="220"/>
      <c r="I19" s="73"/>
    </row>
    <row r="20" spans="1:10" ht="30">
      <c r="A20" s="222">
        <v>41962</v>
      </c>
      <c r="B20" s="219">
        <v>50000</v>
      </c>
      <c r="C20" s="223">
        <f>B20/D20</f>
        <v>128.18113532595183</v>
      </c>
      <c r="D20" s="220">
        <v>390.073</v>
      </c>
      <c r="E20" s="221" t="s">
        <v>139</v>
      </c>
      <c r="F20" s="221" t="s">
        <v>141</v>
      </c>
      <c r="G20" s="220" t="s">
        <v>143</v>
      </c>
      <c r="H20" s="220"/>
      <c r="I20" s="122"/>
      <c r="J20" s="24"/>
    </row>
    <row r="21" spans="1:9" ht="15">
      <c r="A21" s="224" t="s">
        <v>144</v>
      </c>
      <c r="B21" s="219">
        <f>2800*D21</f>
        <v>1092204.4</v>
      </c>
      <c r="C21" s="223">
        <v>2800</v>
      </c>
      <c r="D21" s="220">
        <v>390.073</v>
      </c>
      <c r="E21" s="221" t="s">
        <v>145</v>
      </c>
      <c r="F21" s="221" t="s">
        <v>146</v>
      </c>
      <c r="G21" s="220" t="s">
        <v>147</v>
      </c>
      <c r="H21" s="189"/>
      <c r="I21" s="73"/>
    </row>
    <row r="22" spans="1:9" ht="60">
      <c r="A22" s="222">
        <v>41970</v>
      </c>
      <c r="B22" s="219">
        <f>(88.61+2262.05)*394.996</f>
        <v>928501.2973600001</v>
      </c>
      <c r="C22" s="223">
        <f>B22/D22</f>
        <v>2350.6600000000003</v>
      </c>
      <c r="D22" s="220">
        <v>394.996</v>
      </c>
      <c r="E22" s="221" t="s">
        <v>158</v>
      </c>
      <c r="F22" s="221" t="s">
        <v>162</v>
      </c>
      <c r="G22" s="220" t="s">
        <v>159</v>
      </c>
      <c r="H22" s="189"/>
      <c r="I22" s="73"/>
    </row>
    <row r="23" spans="1:9" ht="30">
      <c r="A23" s="222">
        <v>41970</v>
      </c>
      <c r="B23" s="219">
        <f>762900</f>
        <v>762900</v>
      </c>
      <c r="C23" s="223">
        <f>B23/D23</f>
        <v>1931.411963665455</v>
      </c>
      <c r="D23" s="220">
        <v>394.996</v>
      </c>
      <c r="E23" s="221" t="s">
        <v>158</v>
      </c>
      <c r="F23" s="221" t="s">
        <v>160</v>
      </c>
      <c r="G23" s="220" t="s">
        <v>161</v>
      </c>
      <c r="H23" s="189"/>
      <c r="I23" s="73"/>
    </row>
    <row r="24" spans="1:9" ht="30">
      <c r="A24" s="222">
        <v>41963</v>
      </c>
      <c r="B24" s="219">
        <f>(4200+2800+7000)*394.996</f>
        <v>5529944</v>
      </c>
      <c r="C24" s="223">
        <f>B24/D24</f>
        <v>14000</v>
      </c>
      <c r="D24" s="220">
        <v>394.996</v>
      </c>
      <c r="E24" s="221" t="s">
        <v>145</v>
      </c>
      <c r="F24" s="221" t="s">
        <v>165</v>
      </c>
      <c r="G24" s="220" t="s">
        <v>166</v>
      </c>
      <c r="H24" s="220"/>
      <c r="I24" s="73"/>
    </row>
    <row r="25" spans="1:9" ht="30">
      <c r="A25" s="222">
        <v>41980</v>
      </c>
      <c r="B25" s="219">
        <f>C25*394.996</f>
        <v>383146.12</v>
      </c>
      <c r="C25" s="223">
        <v>970</v>
      </c>
      <c r="D25" s="220">
        <v>394.996</v>
      </c>
      <c r="E25" s="221" t="s">
        <v>188</v>
      </c>
      <c r="F25" s="221" t="s">
        <v>170</v>
      </c>
      <c r="G25" s="221" t="s">
        <v>187</v>
      </c>
      <c r="H25" s="220"/>
      <c r="I25" s="73"/>
    </row>
    <row r="26" spans="1:9" ht="45">
      <c r="A26" s="222" t="s">
        <v>180</v>
      </c>
      <c r="B26" s="219">
        <v>105000</v>
      </c>
      <c r="C26" s="223">
        <f>+B26/D26</f>
        <v>267.10624723354243</v>
      </c>
      <c r="D26" s="220">
        <v>393.102</v>
      </c>
      <c r="E26" s="221" t="s">
        <v>182</v>
      </c>
      <c r="F26" s="221" t="s">
        <v>181</v>
      </c>
      <c r="G26" s="221">
        <v>24279</v>
      </c>
      <c r="H26" s="220"/>
      <c r="I26" s="73"/>
    </row>
    <row r="27" spans="1:9" ht="30.75">
      <c r="A27" s="222">
        <v>41995</v>
      </c>
      <c r="B27" s="219">
        <v>147000</v>
      </c>
      <c r="C27" s="223">
        <f>B27/D27</f>
        <v>373.94874612695946</v>
      </c>
      <c r="D27" s="220">
        <v>393.102</v>
      </c>
      <c r="E27" s="221"/>
      <c r="F27" s="221" t="s">
        <v>206</v>
      </c>
      <c r="G27" s="221"/>
      <c r="H27" s="220"/>
      <c r="I27" s="73"/>
    </row>
    <row r="28" spans="1:9" ht="30.75">
      <c r="A28" s="224">
        <v>41975</v>
      </c>
      <c r="B28" s="219">
        <v>100000</v>
      </c>
      <c r="C28" s="223">
        <v>254.39</v>
      </c>
      <c r="D28" s="220">
        <v>393.102</v>
      </c>
      <c r="E28" s="221" t="s">
        <v>86</v>
      </c>
      <c r="F28" s="221" t="s">
        <v>185</v>
      </c>
      <c r="G28" s="220" t="s">
        <v>186</v>
      </c>
      <c r="H28" s="220"/>
      <c r="I28" s="73"/>
    </row>
    <row r="29" spans="1:9" ht="30.75">
      <c r="A29" s="224" t="s">
        <v>204</v>
      </c>
      <c r="B29" s="219">
        <f>C29*D29</f>
        <v>248208.53381999998</v>
      </c>
      <c r="C29" s="223">
        <v>631.41</v>
      </c>
      <c r="D29" s="220">
        <v>393.102</v>
      </c>
      <c r="E29" s="221" t="s">
        <v>191</v>
      </c>
      <c r="F29" s="221" t="s">
        <v>189</v>
      </c>
      <c r="G29" s="220" t="s">
        <v>190</v>
      </c>
      <c r="H29" s="220"/>
      <c r="I29" s="73"/>
    </row>
    <row r="30" spans="1:9" ht="15.75">
      <c r="A30" s="225">
        <v>41996</v>
      </c>
      <c r="B30" s="226">
        <f>+C30*D30</f>
        <v>974996.5638400001</v>
      </c>
      <c r="C30" s="227">
        <f>188.96+1133.76+226.75+907.01</f>
        <v>2456.48</v>
      </c>
      <c r="D30" s="228">
        <v>396.908</v>
      </c>
      <c r="E30" s="229" t="s">
        <v>209</v>
      </c>
      <c r="F30" s="229" t="s">
        <v>207</v>
      </c>
      <c r="G30" s="228" t="s">
        <v>208</v>
      </c>
      <c r="H30" s="228"/>
      <c r="I30" s="73"/>
    </row>
    <row r="31" spans="1:9" ht="15.75">
      <c r="A31" s="225">
        <v>41996</v>
      </c>
      <c r="B31" s="226">
        <f>+C31*D31</f>
        <v>805000.8674400001</v>
      </c>
      <c r="C31" s="227">
        <f>1587.27+188.96+251.95</f>
        <v>2028.18</v>
      </c>
      <c r="D31" s="228">
        <v>396.908</v>
      </c>
      <c r="E31" s="229" t="s">
        <v>210</v>
      </c>
      <c r="F31" s="229" t="s">
        <v>211</v>
      </c>
      <c r="G31" s="228" t="s">
        <v>212</v>
      </c>
      <c r="H31" s="228"/>
      <c r="I31" s="73"/>
    </row>
    <row r="32" spans="1:9" ht="15.75">
      <c r="A32" s="225">
        <v>41996</v>
      </c>
      <c r="B32" s="226">
        <f>+C32*D32</f>
        <v>1079998.57524</v>
      </c>
      <c r="C32" s="227">
        <f>226.75+1360.52+1133.76</f>
        <v>2721.0299999999997</v>
      </c>
      <c r="D32" s="228">
        <v>396.908</v>
      </c>
      <c r="E32" s="229" t="s">
        <v>107</v>
      </c>
      <c r="F32" s="229" t="s">
        <v>213</v>
      </c>
      <c r="G32" s="228" t="s">
        <v>214</v>
      </c>
      <c r="H32" s="228"/>
      <c r="I32" s="73"/>
    </row>
    <row r="33" spans="1:9" ht="15.75">
      <c r="A33" s="225">
        <v>41996</v>
      </c>
      <c r="B33" s="226">
        <f>+C33*D33</f>
        <v>4964621.191199999</v>
      </c>
      <c r="C33" s="227">
        <v>12534.39</v>
      </c>
      <c r="D33" s="228">
        <v>396.08</v>
      </c>
      <c r="E33" s="229" t="s">
        <v>86</v>
      </c>
      <c r="F33" s="229" t="s">
        <v>215</v>
      </c>
      <c r="G33" s="228" t="s">
        <v>216</v>
      </c>
      <c r="H33" s="228"/>
      <c r="I33" s="73"/>
    </row>
    <row r="34" spans="1:9" ht="15.75">
      <c r="A34" s="225">
        <v>41996</v>
      </c>
      <c r="B34" s="226">
        <f>+C34*D34</f>
        <v>1122653.1128</v>
      </c>
      <c r="C34" s="227">
        <v>2834.41</v>
      </c>
      <c r="D34" s="228">
        <v>396.08</v>
      </c>
      <c r="E34" s="229" t="s">
        <v>217</v>
      </c>
      <c r="F34" s="229" t="s">
        <v>218</v>
      </c>
      <c r="G34" s="228" t="s">
        <v>219</v>
      </c>
      <c r="H34" s="228"/>
      <c r="I34" s="73"/>
    </row>
    <row r="35" spans="1:9" ht="15.75">
      <c r="A35" s="225">
        <v>41996</v>
      </c>
      <c r="B35" s="226">
        <f>+C35*D35</f>
        <v>2538872.8</v>
      </c>
      <c r="C35" s="227">
        <v>6410</v>
      </c>
      <c r="D35" s="228">
        <v>396.08</v>
      </c>
      <c r="E35" s="229" t="s">
        <v>220</v>
      </c>
      <c r="F35" s="229" t="s">
        <v>221</v>
      </c>
      <c r="G35" s="228" t="s">
        <v>222</v>
      </c>
      <c r="H35" s="228"/>
      <c r="I35" s="73"/>
    </row>
    <row r="36" spans="1:9" ht="15.75">
      <c r="A36" s="191">
        <v>41996</v>
      </c>
      <c r="B36" s="188">
        <f>+C36*D36</f>
        <v>1400142.8</v>
      </c>
      <c r="C36" s="190">
        <v>3535</v>
      </c>
      <c r="D36" s="189">
        <v>396.08</v>
      </c>
      <c r="E36" s="229" t="s">
        <v>220</v>
      </c>
      <c r="F36" s="183" t="s">
        <v>223</v>
      </c>
      <c r="G36" s="189" t="s">
        <v>224</v>
      </c>
      <c r="H36" s="189"/>
      <c r="I36" s="73"/>
    </row>
    <row r="37" spans="1:9" ht="30.75">
      <c r="A37" s="191">
        <v>41996</v>
      </c>
      <c r="B37" s="188">
        <f>+C37*D37</f>
        <v>2927415.3976</v>
      </c>
      <c r="C37" s="190">
        <v>7390.97</v>
      </c>
      <c r="D37" s="189">
        <v>396.08</v>
      </c>
      <c r="E37" s="229" t="s">
        <v>225</v>
      </c>
      <c r="F37" s="183" t="s">
        <v>226</v>
      </c>
      <c r="G37" s="189"/>
      <c r="H37" s="189"/>
      <c r="I37" s="73"/>
    </row>
    <row r="38" spans="1:9" ht="15.75">
      <c r="A38" s="191">
        <v>41996</v>
      </c>
      <c r="B38" s="188">
        <f>+C38*D38</f>
        <v>1474209.76</v>
      </c>
      <c r="C38" s="190">
        <v>3722</v>
      </c>
      <c r="D38" s="189">
        <v>396.08</v>
      </c>
      <c r="E38" s="229" t="s">
        <v>225</v>
      </c>
      <c r="F38" s="183" t="s">
        <v>227</v>
      </c>
      <c r="G38" s="189"/>
      <c r="H38" s="189"/>
      <c r="I38" s="73"/>
    </row>
    <row r="39" spans="1:9" ht="15.75">
      <c r="A39" s="225"/>
      <c r="B39" s="226"/>
      <c r="C39" s="227"/>
      <c r="D39" s="228"/>
      <c r="E39" s="229"/>
      <c r="F39" s="229"/>
      <c r="G39" s="228"/>
      <c r="H39" s="228"/>
      <c r="I39" s="73"/>
    </row>
    <row r="40" spans="1:9" ht="15.75">
      <c r="A40" s="191"/>
      <c r="B40" s="188"/>
      <c r="C40" s="190"/>
      <c r="D40" s="189"/>
      <c r="E40" s="229"/>
      <c r="F40" s="183"/>
      <c r="G40" s="189"/>
      <c r="H40" s="189"/>
      <c r="I40" s="73"/>
    </row>
    <row r="41" spans="1:9" ht="15.75">
      <c r="A41" s="192" t="s">
        <v>53</v>
      </c>
      <c r="B41" s="193"/>
      <c r="C41" s="194">
        <f>SUM(C15:C40)</f>
        <v>73498.95337682312</v>
      </c>
      <c r="D41" s="194"/>
      <c r="E41" s="194"/>
      <c r="F41" s="195"/>
      <c r="G41" s="194"/>
      <c r="H41" s="194"/>
      <c r="I41" s="73"/>
    </row>
    <row r="42" spans="1:9" ht="15.75">
      <c r="A42" s="192"/>
      <c r="B42" s="193"/>
      <c r="C42" s="194"/>
      <c r="D42" s="194"/>
      <c r="E42" s="194"/>
      <c r="F42" s="195"/>
      <c r="G42" s="194"/>
      <c r="H42" s="194"/>
      <c r="I42" s="73"/>
    </row>
    <row r="43" spans="1:9" ht="30.75">
      <c r="A43" s="196"/>
      <c r="B43" s="188"/>
      <c r="C43" s="197">
        <f>10432+1000</f>
        <v>11432</v>
      </c>
      <c r="D43" s="189"/>
      <c r="E43" s="189"/>
      <c r="F43" s="183" t="s">
        <v>122</v>
      </c>
      <c r="G43" s="198"/>
      <c r="H43" s="189"/>
      <c r="I43" s="73"/>
    </row>
    <row r="44" spans="1:9" ht="46.5" thickBot="1">
      <c r="A44" s="196"/>
      <c r="B44" s="188"/>
      <c r="C44" s="197">
        <f>8551+1000</f>
        <v>9551</v>
      </c>
      <c r="D44" s="197"/>
      <c r="E44" s="189"/>
      <c r="F44" s="183" t="s">
        <v>124</v>
      </c>
      <c r="G44" s="198"/>
      <c r="H44" s="189"/>
      <c r="I44" s="73"/>
    </row>
    <row r="45" spans="1:9" ht="15.75">
      <c r="A45" s="196"/>
      <c r="B45" s="234"/>
      <c r="C45" s="199">
        <v>0</v>
      </c>
      <c r="D45" s="190"/>
      <c r="E45" s="189"/>
      <c r="F45" s="45" t="s">
        <v>197</v>
      </c>
      <c r="G45" s="200"/>
      <c r="H45" s="189"/>
      <c r="I45" s="73"/>
    </row>
    <row r="46" spans="1:9" ht="15.75">
      <c r="A46" s="196"/>
      <c r="B46" s="188"/>
      <c r="C46" s="201">
        <v>0</v>
      </c>
      <c r="D46" s="190"/>
      <c r="E46" s="189"/>
      <c r="F46" s="45" t="s">
        <v>198</v>
      </c>
      <c r="G46" s="202"/>
      <c r="H46" s="189"/>
      <c r="I46" s="73"/>
    </row>
    <row r="47" spans="1:9" ht="15.75">
      <c r="A47" s="196"/>
      <c r="B47" s="188"/>
      <c r="C47" s="201">
        <v>0</v>
      </c>
      <c r="D47" s="189"/>
      <c r="E47" s="189"/>
      <c r="F47" s="45" t="s">
        <v>199</v>
      </c>
      <c r="G47" s="202"/>
      <c r="H47" s="189"/>
      <c r="I47" s="73"/>
    </row>
    <row r="48" spans="1:9" ht="15.75">
      <c r="A48" s="196"/>
      <c r="B48" s="188"/>
      <c r="C48" s="201">
        <f>(5988200/396.908)-7205</f>
        <v>7882.123464379654</v>
      </c>
      <c r="D48" s="189"/>
      <c r="E48" s="189"/>
      <c r="F48" s="45" t="s">
        <v>200</v>
      </c>
      <c r="G48" s="202"/>
      <c r="H48" s="189"/>
      <c r="I48" s="73"/>
    </row>
    <row r="49" spans="1:9" ht="15.75">
      <c r="A49" s="230"/>
      <c r="B49" s="226"/>
      <c r="C49" s="231">
        <v>0</v>
      </c>
      <c r="D49" s="228"/>
      <c r="E49" s="228"/>
      <c r="F49" s="232" t="s">
        <v>201</v>
      </c>
      <c r="G49" s="202"/>
      <c r="H49" s="189"/>
      <c r="I49" s="73"/>
    </row>
    <row r="50" spans="1:9" ht="15.75">
      <c r="A50" s="230"/>
      <c r="B50" s="226"/>
      <c r="C50" s="231">
        <f>-(7390+3722)</f>
        <v>-11112</v>
      </c>
      <c r="D50" s="228"/>
      <c r="E50" s="228"/>
      <c r="F50" s="232"/>
      <c r="G50" s="202"/>
      <c r="H50" s="189"/>
      <c r="I50" s="73"/>
    </row>
    <row r="51" spans="1:9" ht="15.75">
      <c r="A51" s="230"/>
      <c r="B51" s="226"/>
      <c r="C51" s="231">
        <v>1000</v>
      </c>
      <c r="D51" s="228"/>
      <c r="E51" s="228"/>
      <c r="F51" s="232" t="s">
        <v>205</v>
      </c>
      <c r="G51" s="202"/>
      <c r="H51" s="189"/>
      <c r="I51" s="73"/>
    </row>
    <row r="52" spans="1:9" ht="15.75">
      <c r="A52" s="196"/>
      <c r="B52" s="188"/>
      <c r="C52" s="201">
        <v>0</v>
      </c>
      <c r="D52" s="189"/>
      <c r="E52" s="189"/>
      <c r="F52" s="45" t="s">
        <v>203</v>
      </c>
      <c r="G52" s="202"/>
      <c r="H52" s="189"/>
      <c r="I52" s="73"/>
    </row>
    <row r="53" spans="1:9" ht="15.75">
      <c r="A53" s="192" t="s">
        <v>123</v>
      </c>
      <c r="B53" s="193"/>
      <c r="C53" s="203">
        <f>SUM(C43:C52)</f>
        <v>18753.123464379656</v>
      </c>
      <c r="D53" s="194"/>
      <c r="E53" s="194"/>
      <c r="F53" s="194"/>
      <c r="G53" s="194"/>
      <c r="H53" s="194"/>
      <c r="I53" s="73"/>
    </row>
    <row r="54" spans="1:9" ht="15.75">
      <c r="A54" s="204"/>
      <c r="B54" s="205"/>
      <c r="C54" s="206"/>
      <c r="D54" s="207"/>
      <c r="E54" s="207"/>
      <c r="F54" s="207"/>
      <c r="G54" s="207"/>
      <c r="H54" s="207"/>
      <c r="I54" s="73"/>
    </row>
    <row r="55" spans="1:9" ht="15.75">
      <c r="A55" s="204"/>
      <c r="B55" s="205"/>
      <c r="C55" s="206"/>
      <c r="D55" s="207"/>
      <c r="E55" s="207"/>
      <c r="F55" s="233">
        <f>C30+C31+C32</f>
        <v>7205.69</v>
      </c>
      <c r="G55" s="207"/>
      <c r="H55" s="207"/>
      <c r="I55" s="73"/>
    </row>
    <row r="56" spans="1:9" ht="15.75">
      <c r="A56" s="208"/>
      <c r="B56" s="209"/>
      <c r="C56" s="207"/>
      <c r="D56" s="207"/>
      <c r="E56" s="207"/>
      <c r="F56" s="207"/>
      <c r="G56" s="207"/>
      <c r="H56" s="207"/>
      <c r="I56" s="73"/>
    </row>
    <row r="57" spans="1:8" ht="15">
      <c r="A57" s="25"/>
      <c r="B57" s="25"/>
      <c r="C57" s="25"/>
      <c r="D57" s="25"/>
      <c r="E57" s="25"/>
      <c r="F57" s="25"/>
      <c r="G57" s="25"/>
      <c r="H57" s="25"/>
    </row>
    <row r="58" spans="1:8" ht="15">
      <c r="A58" s="25"/>
      <c r="B58" s="25"/>
      <c r="C58" s="25"/>
      <c r="D58" s="25"/>
      <c r="E58" s="25"/>
      <c r="F58" s="25"/>
      <c r="G58" s="25"/>
      <c r="H58" s="25"/>
    </row>
    <row r="59" spans="1:8" ht="15">
      <c r="A59" s="25"/>
      <c r="B59" s="25"/>
      <c r="C59" s="25"/>
      <c r="D59" s="25"/>
      <c r="E59" s="25"/>
      <c r="F59" s="25"/>
      <c r="G59" s="25"/>
      <c r="H59" s="25"/>
    </row>
    <row r="60" spans="1:8" ht="15">
      <c r="A60" s="25"/>
      <c r="B60" s="25"/>
      <c r="C60" s="25"/>
      <c r="D60" s="25"/>
      <c r="E60" s="25"/>
      <c r="F60" s="25"/>
      <c r="G60" s="25"/>
      <c r="H60" s="25"/>
    </row>
    <row r="61" spans="1:8" ht="15">
      <c r="A61" s="25"/>
      <c r="B61" s="25"/>
      <c r="C61" s="25"/>
      <c r="D61" s="25"/>
      <c r="E61" s="25"/>
      <c r="F61" s="25"/>
      <c r="G61" s="25"/>
      <c r="H61" s="25"/>
    </row>
    <row r="62" spans="1:8" ht="15">
      <c r="A62" s="25"/>
      <c r="B62" s="25"/>
      <c r="C62" s="25"/>
      <c r="D62" s="25"/>
      <c r="E62" s="25"/>
      <c r="F62" s="25"/>
      <c r="G62" s="25"/>
      <c r="H62" s="25"/>
    </row>
    <row r="63" spans="1:8" ht="17.25" thickBot="1">
      <c r="A63" s="184" t="s">
        <v>192</v>
      </c>
      <c r="B63" s="184" t="s">
        <v>7</v>
      </c>
      <c r="C63" s="184" t="s">
        <v>193</v>
      </c>
      <c r="D63" s="184" t="s">
        <v>194</v>
      </c>
      <c r="E63" s="184" t="s">
        <v>195</v>
      </c>
      <c r="F63" s="184" t="s">
        <v>196</v>
      </c>
      <c r="G63" s="25"/>
      <c r="H63" s="25"/>
    </row>
    <row r="64" spans="1:8" ht="15">
      <c r="A64" s="185" t="e">
        <f>SUM(#REF!-#REF!)</f>
        <v>#REF!</v>
      </c>
      <c r="B64" s="210"/>
      <c r="C64" s="200" t="s">
        <v>197</v>
      </c>
      <c r="D64" s="200">
        <f>729.95/0.799</f>
        <v>913.5794743429286</v>
      </c>
      <c r="E64" s="200"/>
      <c r="F64" s="211"/>
      <c r="G64" s="25"/>
      <c r="H64" s="25"/>
    </row>
    <row r="65" spans="1:8" ht="15">
      <c r="A65" s="186"/>
      <c r="B65" s="212"/>
      <c r="C65" s="202" t="s">
        <v>198</v>
      </c>
      <c r="D65" s="202">
        <f>(79.95*24)/0.799</f>
        <v>2401.5018773466836</v>
      </c>
      <c r="E65" s="202"/>
      <c r="F65" s="213"/>
      <c r="G65" s="25"/>
      <c r="H65" s="25"/>
    </row>
    <row r="66" spans="1:8" ht="15">
      <c r="A66" s="186"/>
      <c r="B66" s="212"/>
      <c r="C66" s="202" t="s">
        <v>199</v>
      </c>
      <c r="D66" s="202">
        <f>10500/0.799</f>
        <v>13141.426783479348</v>
      </c>
      <c r="E66" s="202"/>
      <c r="F66" s="213"/>
      <c r="G66" s="25"/>
      <c r="H66" s="25"/>
    </row>
    <row r="67" spans="1:8" ht="15">
      <c r="A67" s="186"/>
      <c r="B67" s="212"/>
      <c r="C67" s="202" t="s">
        <v>200</v>
      </c>
      <c r="D67" s="202">
        <f>5988200/396.908</f>
        <v>15087.123464379654</v>
      </c>
      <c r="E67" s="202"/>
      <c r="F67" s="213"/>
      <c r="G67" s="25"/>
      <c r="H67" s="25"/>
    </row>
    <row r="68" spans="1:8" ht="15">
      <c r="A68" s="186"/>
      <c r="B68" s="212"/>
      <c r="C68" s="202" t="s">
        <v>201</v>
      </c>
      <c r="D68" s="202">
        <v>1121</v>
      </c>
      <c r="E68" s="202"/>
      <c r="F68" s="213" t="s">
        <v>202</v>
      </c>
      <c r="G68" s="25"/>
      <c r="H68" s="25"/>
    </row>
    <row r="69" spans="1:8" ht="15">
      <c r="A69" s="186"/>
      <c r="B69" s="212"/>
      <c r="C69" s="202" t="s">
        <v>203</v>
      </c>
      <c r="D69" s="202"/>
      <c r="E69" s="202"/>
      <c r="F69" s="213"/>
      <c r="G69" s="25"/>
      <c r="H69" s="25"/>
    </row>
    <row r="70" spans="1:8" ht="15.75" thickBot="1">
      <c r="A70" s="187"/>
      <c r="B70" s="214" t="s">
        <v>53</v>
      </c>
      <c r="C70" s="215"/>
      <c r="D70" s="215"/>
      <c r="E70" s="215"/>
      <c r="F70" s="216"/>
      <c r="G70" s="25"/>
      <c r="H70" s="25"/>
    </row>
    <row r="71" spans="1:8" ht="15">
      <c r="A71" s="217"/>
      <c r="B71" s="25"/>
      <c r="C71" s="25"/>
      <c r="D71" s="25"/>
      <c r="E71" s="25"/>
      <c r="F71" s="25"/>
      <c r="G71" s="25"/>
      <c r="H71" s="25"/>
    </row>
  </sheetData>
  <sheetProtection/>
  <mergeCells count="2">
    <mergeCell ref="A3:I3"/>
    <mergeCell ref="A64:A70"/>
  </mergeCells>
  <printOptions/>
  <pageMargins left="0.7" right="0.7" top="0.75" bottom="0.75" header="0.3" footer="0.3"/>
  <pageSetup horizontalDpi="600" verticalDpi="600" orientation="landscape" paperSize="9" scale="70" r:id="rId4"/>
  <legacyDrawing r:id="rId3"/>
  <oleObjects>
    <oleObject progId="Word.Document.12" shapeId="16896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Latufa Soilihi</dc:creator>
  <cp:keywords/>
  <dc:description/>
  <cp:lastModifiedBy>Latufa Soilihi</cp:lastModifiedBy>
  <cp:lastPrinted>2014-12-17T09:56:09Z</cp:lastPrinted>
  <dcterms:created xsi:type="dcterms:W3CDTF">2014-04-10T06:57:43Z</dcterms:created>
  <dcterms:modified xsi:type="dcterms:W3CDTF">2014-12-26T08:35:01Z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French|946783f8-cd0b-41e2-848e-7777f631248e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1110;#Prodoc|099f975e-b4d9-4bba-a499-dbcc387c61ad;#1288;#COM|6cadeb50-8425-4402-8d6a-485ed3ea056c;#233;#French|946783f8-cd0b-41e2-848e-7777f631248e;#763;#Draft|121d40a5-e62e-4d42-82e4-d6d12003de0a</vt:lpwstr>
  </property>
  <property fmtid="{D5CDD505-2E9C-101B-9397-08002B2CF9AE}" pid="6" name="UN Languag">
    <vt:lpwstr>233;#French|946783f8-cd0b-41e2-848e-7777f631248e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228;#Prodoc|5f41516e-5ee3-43b6-82ea-9b89532838d0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COM|6cadeb50-8425-4402-8d6a-485ed3ea056c</vt:lpwstr>
  </property>
  <property fmtid="{D5CDD505-2E9C-101B-9397-08002B2CF9AE}" pid="12" name="Operating Uni">
    <vt:lpwstr>1288;#COM|6cadeb50-8425-4402-8d6a-485ed3ea056c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Prodoc|099f975e-b4d9-4bba-a499-dbcc387c61ad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2015-09-23T03:00:00Z</vt:lpwstr>
  </property>
  <property fmtid="{D5CDD505-2E9C-101B-9397-08002B2CF9AE}" pid="29" name="UNDPCountryTaxHTFiel">
    <vt:lpwstr/>
  </property>
  <property fmtid="{D5CDD505-2E9C-101B-9397-08002B2CF9AE}" pid="30" name="_dlc_Doc">
    <vt:lpwstr>ATLASPDC-4-38972</vt:lpwstr>
  </property>
  <property fmtid="{D5CDD505-2E9C-101B-9397-08002B2CF9AE}" pid="31" name="_dlc_DocIdItemGu">
    <vt:lpwstr>012bc31d-1126-4a8d-975a-28d8242524b4</vt:lpwstr>
  </property>
  <property fmtid="{D5CDD505-2E9C-101B-9397-08002B2CF9AE}" pid="32" name="_dlc_DocIdU">
    <vt:lpwstr>https://info.undp.org/docs/pdc/_layouts/DocIdRedir.aspx?ID=ATLASPDC-4-38972, ATLASPDC-4-38972</vt:lpwstr>
  </property>
  <property fmtid="{D5CDD505-2E9C-101B-9397-08002B2CF9AE}" pid="33" name="UndpDocStat">
    <vt:lpwstr>Draft</vt:lpwstr>
  </property>
  <property fmtid="{D5CDD505-2E9C-101B-9397-08002B2CF9AE}" pid="34" name="Atlas Document Ty">
    <vt:lpwstr>1110;#Prodoc|099f975e-b4d9-4bba-a499-dbcc387c61ad</vt:lpwstr>
  </property>
  <property fmtid="{D5CDD505-2E9C-101B-9397-08002B2CF9AE}" pid="35" name="UndpOUCo">
    <vt:lpwstr/>
  </property>
  <property fmtid="{D5CDD505-2E9C-101B-9397-08002B2CF9AE}" pid="36" name="Outcom">
    <vt:lpwstr/>
  </property>
  <property fmtid="{D5CDD505-2E9C-101B-9397-08002B2CF9AE}" pid="37" name="UndpProject">
    <vt:lpwstr>00046040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Mirhame Mshangama</vt:lpwstr>
  </property>
  <property fmtid="{D5CDD505-2E9C-101B-9397-08002B2CF9AE}" pid="48" name="display_urn:schemas-microsoft-com:office:office#Auth">
    <vt:lpwstr>Mirhame Mshangama</vt:lpwstr>
  </property>
</Properties>
</file>